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0C9" lockStructure="1"/>
  <bookViews>
    <workbookView xWindow="-15" yWindow="-15" windowWidth="14400" windowHeight="11685" tabRatio="525"/>
  </bookViews>
  <sheets>
    <sheet name="ベンチマーク比較" sheetId="16" r:id="rId1"/>
    <sheet name="対策チェック" sheetId="5" r:id="rId2"/>
    <sheet name="省エネポテンシャル" sheetId="6" r:id="rId3"/>
    <sheet name="低炭素ベンチマーク計算" sheetId="17" state="hidden" r:id="rId4"/>
    <sheet name="メイン" sheetId="1" state="hidden" r:id="rId5"/>
    <sheet name="空調選択用" sheetId="3" state="hidden" r:id="rId6"/>
    <sheet name="選択肢パターン" sheetId="14" state="hidden" r:id="rId7"/>
    <sheet name="削減率設定" sheetId="12" state="hidden" r:id="rId8"/>
    <sheet name="エネルギーシェア" sheetId="2" state="hidden" r:id="rId9"/>
    <sheet name="エネルギー単価" sheetId="4" state="hidden" r:id="rId10"/>
  </sheets>
  <definedNames>
    <definedName name="_xlnm._FilterDatabase" localSheetId="7" hidden="1">削減率設定!$A$4:$BL$84</definedName>
    <definedName name="_xlnm._FilterDatabase" localSheetId="1" hidden="1">対策チェック!$A$25:$CE$95</definedName>
    <definedName name="_xlnm.Print_Area" localSheetId="0">ベンチマーク比較!$A$1:$AK$22</definedName>
    <definedName name="_xlnm.Print_Area" localSheetId="4">メイン!$C$1:$N$88</definedName>
    <definedName name="_xlnm.Print_Area" localSheetId="7">削減率設定!$A$1:$U$74</definedName>
    <definedName name="_xlnm.Print_Area" localSheetId="2">省エネポテンシャル!$A$1:$AP$56</definedName>
    <definedName name="_xlnm.Print_Area" localSheetId="1">対策チェック!$A$1:$AU$96</definedName>
    <definedName name="_xlnm.Print_Titles" localSheetId="4">メイン!$18:$18</definedName>
    <definedName name="_xlnm.Print_Titles" localSheetId="7">削減率設定!$3:$4</definedName>
    <definedName name="_xlnm.Print_Titles" localSheetId="1">対策チェック!$23:$25</definedName>
    <definedName name="用途">メイン!$C$2</definedName>
  </definedNames>
  <calcPr calcId="145621"/>
</workbook>
</file>

<file path=xl/calcChain.xml><?xml version="1.0" encoding="utf-8"?>
<calcChain xmlns="http://schemas.openxmlformats.org/spreadsheetml/2006/main">
  <c r="B1" i="5" l="1"/>
  <c r="AK1" i="5" l="1"/>
  <c r="AE1" i="16" l="1"/>
  <c r="U12" i="5" l="1"/>
  <c r="U11" i="5"/>
  <c r="U10" i="5"/>
  <c r="U9" i="5"/>
  <c r="U8" i="5"/>
  <c r="I26" i="12" l="1"/>
  <c r="I19" i="12"/>
  <c r="I18" i="12"/>
  <c r="I17" i="12"/>
  <c r="K87" i="1" l="1"/>
  <c r="K28" i="1"/>
  <c r="K27" i="1"/>
  <c r="K26" i="1"/>
  <c r="K25" i="1"/>
  <c r="K24" i="1"/>
  <c r="K23" i="1"/>
  <c r="K22" i="1"/>
  <c r="K21" i="1"/>
  <c r="K20" i="1"/>
  <c r="K19" i="1"/>
  <c r="U73" i="12" l="1"/>
  <c r="S74" i="12"/>
  <c r="S73" i="12"/>
  <c r="S72" i="12"/>
  <c r="S71" i="12"/>
  <c r="S70" i="12"/>
  <c r="S69" i="12"/>
  <c r="S68"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14" i="12"/>
  <c r="S13" i="12"/>
  <c r="S12" i="12"/>
  <c r="S11" i="12"/>
  <c r="S10" i="12"/>
  <c r="S9" i="12"/>
  <c r="S8" i="12"/>
  <c r="S7" i="12"/>
  <c r="S6" i="12"/>
  <c r="S5" i="12"/>
  <c r="M33" i="2"/>
  <c r="N33" i="2"/>
  <c r="O33" i="2"/>
  <c r="P33" i="2"/>
  <c r="Q33" i="2"/>
  <c r="R33" i="2"/>
  <c r="S33" i="2"/>
  <c r="T33" i="2"/>
  <c r="U33" i="2"/>
  <c r="V33" i="2"/>
  <c r="W33" i="2"/>
  <c r="X33" i="2"/>
  <c r="Y33" i="2"/>
  <c r="Z33" i="2"/>
  <c r="M34" i="2"/>
  <c r="N34" i="2"/>
  <c r="O34" i="2"/>
  <c r="P34" i="2"/>
  <c r="Q34" i="2"/>
  <c r="R34" i="2"/>
  <c r="S34" i="2"/>
  <c r="T34" i="2"/>
  <c r="U34" i="2"/>
  <c r="V34" i="2"/>
  <c r="W34" i="2"/>
  <c r="X34" i="2"/>
  <c r="Y34" i="2"/>
  <c r="Z34" i="2"/>
  <c r="M35" i="2"/>
  <c r="N35" i="2"/>
  <c r="O35" i="2"/>
  <c r="P35" i="2"/>
  <c r="Q35" i="2"/>
  <c r="R35" i="2"/>
  <c r="S35" i="2"/>
  <c r="T35" i="2"/>
  <c r="U35" i="2"/>
  <c r="V35" i="2"/>
  <c r="W35" i="2"/>
  <c r="X35" i="2"/>
  <c r="Y35" i="2"/>
  <c r="Z35" i="2"/>
  <c r="AA34" i="2" l="1"/>
  <c r="AA35" i="2"/>
  <c r="AA33" i="2"/>
  <c r="J8" i="5"/>
  <c r="J4" i="5"/>
  <c r="N27" i="17" l="1"/>
  <c r="D42" i="17"/>
  <c r="D41" i="17"/>
  <c r="AK13" i="5" l="1"/>
  <c r="I41" i="17"/>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J31" i="17"/>
  <c r="K31" i="17" s="1"/>
  <c r="J30" i="17"/>
  <c r="K30" i="17" s="1"/>
  <c r="J29" i="17"/>
  <c r="K29" i="17" s="1"/>
  <c r="J28" i="17"/>
  <c r="K28" i="17" s="1"/>
  <c r="J27" i="17"/>
  <c r="K27" i="17" s="1"/>
  <c r="J26" i="17"/>
  <c r="K26" i="17" s="1"/>
  <c r="J25" i="17"/>
  <c r="S13" i="5"/>
  <c r="I42" i="17" l="1"/>
  <c r="K25" i="17"/>
  <c r="N24" i="17" s="1"/>
  <c r="H8" i="16" l="1"/>
  <c r="F21" i="1" l="1"/>
  <c r="H8" i="4"/>
  <c r="L8" i="4" s="1"/>
  <c r="H9" i="4"/>
  <c r="H10" i="4"/>
  <c r="L10" i="4" s="1"/>
  <c r="O49" i="12" l="1"/>
  <c r="O19" i="12"/>
  <c r="AF88" i="1"/>
  <c r="AE88" i="1"/>
  <c r="AD88" i="1"/>
  <c r="AC88" i="1"/>
  <c r="AB88" i="1"/>
  <c r="AA88" i="1"/>
  <c r="Z88" i="1"/>
  <c r="Y88" i="1"/>
  <c r="X88" i="1"/>
  <c r="W88" i="1"/>
  <c r="AF87" i="1"/>
  <c r="AE87" i="1"/>
  <c r="AD87" i="1"/>
  <c r="AC87" i="1"/>
  <c r="AB87" i="1"/>
  <c r="AA87" i="1"/>
  <c r="Z87" i="1"/>
  <c r="Y87" i="1"/>
  <c r="X87" i="1"/>
  <c r="W87" i="1"/>
  <c r="AF86" i="1"/>
  <c r="AE86" i="1"/>
  <c r="AD86" i="1"/>
  <c r="AC86" i="1"/>
  <c r="AB86" i="1"/>
  <c r="AA86" i="1"/>
  <c r="Z86" i="1"/>
  <c r="Y86" i="1"/>
  <c r="X86" i="1"/>
  <c r="W86" i="1"/>
  <c r="AF85" i="1"/>
  <c r="AE85" i="1"/>
  <c r="AD85" i="1"/>
  <c r="AC85" i="1"/>
  <c r="AB85" i="1"/>
  <c r="AA85" i="1"/>
  <c r="Z85" i="1"/>
  <c r="Y85" i="1"/>
  <c r="X85" i="1"/>
  <c r="W85" i="1"/>
  <c r="AF84" i="1"/>
  <c r="AE84" i="1"/>
  <c r="AD84" i="1"/>
  <c r="AC84" i="1"/>
  <c r="AB84" i="1"/>
  <c r="AA84" i="1"/>
  <c r="Z84" i="1"/>
  <c r="Y84" i="1"/>
  <c r="X84" i="1"/>
  <c r="W84" i="1"/>
  <c r="AF83" i="1"/>
  <c r="AE83" i="1"/>
  <c r="AD83" i="1"/>
  <c r="AC83" i="1"/>
  <c r="AB83" i="1"/>
  <c r="AA83" i="1"/>
  <c r="Z83" i="1"/>
  <c r="Y83" i="1"/>
  <c r="X83" i="1"/>
  <c r="W83" i="1"/>
  <c r="AF82" i="1"/>
  <c r="AE82" i="1"/>
  <c r="AD82" i="1"/>
  <c r="AC82" i="1"/>
  <c r="AB82" i="1"/>
  <c r="AA82" i="1"/>
  <c r="Z82" i="1"/>
  <c r="Y82" i="1"/>
  <c r="X82" i="1"/>
  <c r="W82" i="1"/>
  <c r="AF81" i="1"/>
  <c r="AE81" i="1"/>
  <c r="AD81" i="1"/>
  <c r="AC81" i="1"/>
  <c r="AB81" i="1"/>
  <c r="AA81" i="1"/>
  <c r="Z81" i="1"/>
  <c r="Y81" i="1"/>
  <c r="X81" i="1"/>
  <c r="W81" i="1"/>
  <c r="AF80" i="1"/>
  <c r="AE80" i="1"/>
  <c r="AD80" i="1"/>
  <c r="AC80" i="1"/>
  <c r="AB80" i="1"/>
  <c r="AA80" i="1"/>
  <c r="Z80" i="1"/>
  <c r="Y80" i="1"/>
  <c r="X80" i="1"/>
  <c r="W80" i="1"/>
  <c r="AF79" i="1"/>
  <c r="AE79" i="1"/>
  <c r="AD79" i="1"/>
  <c r="AC79" i="1"/>
  <c r="AB79" i="1"/>
  <c r="AA79" i="1"/>
  <c r="Z79" i="1"/>
  <c r="Y79" i="1"/>
  <c r="X79" i="1"/>
  <c r="W79" i="1"/>
  <c r="AF78" i="1"/>
  <c r="AE78" i="1"/>
  <c r="AD78" i="1"/>
  <c r="AC78" i="1"/>
  <c r="AB78" i="1"/>
  <c r="AA78" i="1"/>
  <c r="Z78" i="1"/>
  <c r="Y78" i="1"/>
  <c r="X78" i="1"/>
  <c r="W78" i="1"/>
  <c r="AF77" i="1"/>
  <c r="AE77" i="1"/>
  <c r="AD77" i="1"/>
  <c r="AC77" i="1"/>
  <c r="AB77" i="1"/>
  <c r="AA77" i="1"/>
  <c r="Z77" i="1"/>
  <c r="Y77" i="1"/>
  <c r="X77" i="1"/>
  <c r="W77" i="1"/>
  <c r="AF76" i="1"/>
  <c r="AE76" i="1"/>
  <c r="AD76" i="1"/>
  <c r="AC76" i="1"/>
  <c r="AB76" i="1"/>
  <c r="AA76" i="1"/>
  <c r="Z76" i="1"/>
  <c r="Y76" i="1"/>
  <c r="X76" i="1"/>
  <c r="W76" i="1"/>
  <c r="AF75" i="1"/>
  <c r="AE75" i="1"/>
  <c r="AD75" i="1"/>
  <c r="AC75" i="1"/>
  <c r="AB75" i="1"/>
  <c r="AA75" i="1"/>
  <c r="Z75" i="1"/>
  <c r="Y75" i="1"/>
  <c r="X75" i="1"/>
  <c r="W75" i="1"/>
  <c r="AF74" i="1"/>
  <c r="AE74" i="1"/>
  <c r="AD74" i="1"/>
  <c r="AC74" i="1"/>
  <c r="AB74" i="1"/>
  <c r="AA74" i="1"/>
  <c r="Z74" i="1"/>
  <c r="Y74" i="1"/>
  <c r="X74" i="1"/>
  <c r="W74" i="1"/>
  <c r="AF73" i="1"/>
  <c r="AE73" i="1"/>
  <c r="AD73" i="1"/>
  <c r="AC73" i="1"/>
  <c r="AB73" i="1"/>
  <c r="AA73" i="1"/>
  <c r="Z73" i="1"/>
  <c r="Y73" i="1"/>
  <c r="X73" i="1"/>
  <c r="W73" i="1"/>
  <c r="AF72" i="1"/>
  <c r="AE72" i="1"/>
  <c r="AD72" i="1"/>
  <c r="AC72" i="1"/>
  <c r="AB72" i="1"/>
  <c r="AA72" i="1"/>
  <c r="Z72" i="1"/>
  <c r="Y72" i="1"/>
  <c r="X72" i="1"/>
  <c r="W72" i="1"/>
  <c r="AF71" i="1"/>
  <c r="AE71" i="1"/>
  <c r="AD71" i="1"/>
  <c r="AC71" i="1"/>
  <c r="AB71" i="1"/>
  <c r="AA71" i="1"/>
  <c r="Z71" i="1"/>
  <c r="Y71" i="1"/>
  <c r="X71" i="1"/>
  <c r="W71" i="1"/>
  <c r="AF70" i="1"/>
  <c r="AE70" i="1"/>
  <c r="AD70" i="1"/>
  <c r="AC70" i="1"/>
  <c r="AB70" i="1"/>
  <c r="AA70" i="1"/>
  <c r="Z70" i="1"/>
  <c r="Y70" i="1"/>
  <c r="X70" i="1"/>
  <c r="W70" i="1"/>
  <c r="AF69" i="1"/>
  <c r="AE69" i="1"/>
  <c r="AD69" i="1"/>
  <c r="AC69" i="1"/>
  <c r="AB69" i="1"/>
  <c r="AA69" i="1"/>
  <c r="Z69" i="1"/>
  <c r="Y69" i="1"/>
  <c r="X69" i="1"/>
  <c r="W69" i="1"/>
  <c r="AF68" i="1"/>
  <c r="AE68" i="1"/>
  <c r="AD68" i="1"/>
  <c r="AC68" i="1"/>
  <c r="AB68" i="1"/>
  <c r="AA68" i="1"/>
  <c r="Z68" i="1"/>
  <c r="Y68" i="1"/>
  <c r="X68" i="1"/>
  <c r="W68" i="1"/>
  <c r="AF67" i="1"/>
  <c r="AE67" i="1"/>
  <c r="AD67" i="1"/>
  <c r="AC67" i="1"/>
  <c r="AB67" i="1"/>
  <c r="AA67" i="1"/>
  <c r="Z67" i="1"/>
  <c r="Y67" i="1"/>
  <c r="X67" i="1"/>
  <c r="W67" i="1"/>
  <c r="AF66" i="1"/>
  <c r="AE66" i="1"/>
  <c r="AD66" i="1"/>
  <c r="AC66" i="1"/>
  <c r="AB66" i="1"/>
  <c r="AA66" i="1"/>
  <c r="Z66" i="1"/>
  <c r="Y66" i="1"/>
  <c r="X66" i="1"/>
  <c r="W66" i="1"/>
  <c r="AF65" i="1"/>
  <c r="AE65" i="1"/>
  <c r="AD65" i="1"/>
  <c r="AC65" i="1"/>
  <c r="AB65" i="1"/>
  <c r="AA65" i="1"/>
  <c r="Z65" i="1"/>
  <c r="Y65" i="1"/>
  <c r="X65" i="1"/>
  <c r="W65" i="1"/>
  <c r="AF64" i="1"/>
  <c r="AE64" i="1"/>
  <c r="AD64" i="1"/>
  <c r="AC64" i="1"/>
  <c r="AB64" i="1"/>
  <c r="AA64" i="1"/>
  <c r="Z64" i="1"/>
  <c r="Y64" i="1"/>
  <c r="X64" i="1"/>
  <c r="W64" i="1"/>
  <c r="AF63" i="1"/>
  <c r="AE63" i="1"/>
  <c r="AD63" i="1"/>
  <c r="AC63" i="1"/>
  <c r="AB63" i="1"/>
  <c r="AA63" i="1"/>
  <c r="Z63" i="1"/>
  <c r="Y63" i="1"/>
  <c r="X63" i="1"/>
  <c r="W63" i="1"/>
  <c r="AF62" i="1"/>
  <c r="AE62" i="1"/>
  <c r="AD62" i="1"/>
  <c r="AC62" i="1"/>
  <c r="AB62" i="1"/>
  <c r="AA62" i="1"/>
  <c r="Z62" i="1"/>
  <c r="Y62" i="1"/>
  <c r="X62" i="1"/>
  <c r="W62" i="1"/>
  <c r="AF61" i="1"/>
  <c r="AE61" i="1"/>
  <c r="AD61" i="1"/>
  <c r="AC61" i="1"/>
  <c r="AB61" i="1"/>
  <c r="AA61" i="1"/>
  <c r="Z61" i="1"/>
  <c r="Y61" i="1"/>
  <c r="X61" i="1"/>
  <c r="W61" i="1"/>
  <c r="AF60" i="1"/>
  <c r="AE60" i="1"/>
  <c r="AD60" i="1"/>
  <c r="AC60" i="1"/>
  <c r="AB60" i="1"/>
  <c r="AA60" i="1"/>
  <c r="Z60" i="1"/>
  <c r="Y60" i="1"/>
  <c r="X60" i="1"/>
  <c r="W60" i="1"/>
  <c r="AF59" i="1"/>
  <c r="AE59" i="1"/>
  <c r="AD59" i="1"/>
  <c r="AC59" i="1"/>
  <c r="AB59" i="1"/>
  <c r="AA59" i="1"/>
  <c r="Z59" i="1"/>
  <c r="Y59" i="1"/>
  <c r="X59" i="1"/>
  <c r="W59" i="1"/>
  <c r="AF58" i="1"/>
  <c r="AE58" i="1"/>
  <c r="AD58" i="1"/>
  <c r="AC58" i="1"/>
  <c r="AB58" i="1"/>
  <c r="AA58" i="1"/>
  <c r="Z58" i="1"/>
  <c r="Y58" i="1"/>
  <c r="X58" i="1"/>
  <c r="W58" i="1"/>
  <c r="AF57" i="1"/>
  <c r="AE57" i="1"/>
  <c r="AD57" i="1"/>
  <c r="AC57" i="1"/>
  <c r="AB57" i="1"/>
  <c r="AA57" i="1"/>
  <c r="Z57" i="1"/>
  <c r="Y57" i="1"/>
  <c r="X57" i="1"/>
  <c r="W57" i="1"/>
  <c r="AF56" i="1"/>
  <c r="AE56" i="1"/>
  <c r="AD56" i="1"/>
  <c r="AC56" i="1"/>
  <c r="AB56" i="1"/>
  <c r="AA56" i="1"/>
  <c r="Z56" i="1"/>
  <c r="Y56" i="1"/>
  <c r="X56" i="1"/>
  <c r="W56" i="1"/>
  <c r="AF55" i="1"/>
  <c r="AE55" i="1"/>
  <c r="AD55" i="1"/>
  <c r="AC55" i="1"/>
  <c r="AB55" i="1"/>
  <c r="AA55" i="1"/>
  <c r="Z55" i="1"/>
  <c r="Y55" i="1"/>
  <c r="X55" i="1"/>
  <c r="W55" i="1"/>
  <c r="AF54" i="1"/>
  <c r="AE54" i="1"/>
  <c r="AD54" i="1"/>
  <c r="AC54" i="1"/>
  <c r="AB54" i="1"/>
  <c r="AA54" i="1"/>
  <c r="Z54" i="1"/>
  <c r="Y54" i="1"/>
  <c r="X54" i="1"/>
  <c r="W54" i="1"/>
  <c r="AF53" i="1"/>
  <c r="AE53" i="1"/>
  <c r="AD53" i="1"/>
  <c r="AC53" i="1"/>
  <c r="AB53" i="1"/>
  <c r="AA53" i="1"/>
  <c r="Z53" i="1"/>
  <c r="Y53" i="1"/>
  <c r="X53" i="1"/>
  <c r="W53" i="1"/>
  <c r="AF52" i="1"/>
  <c r="AE52" i="1"/>
  <c r="AD52" i="1"/>
  <c r="AC52" i="1"/>
  <c r="AB52" i="1"/>
  <c r="AA52" i="1"/>
  <c r="Z52" i="1"/>
  <c r="Y52" i="1"/>
  <c r="X52" i="1"/>
  <c r="W52" i="1"/>
  <c r="AF51" i="1"/>
  <c r="AE51" i="1"/>
  <c r="AD51" i="1"/>
  <c r="AC51" i="1"/>
  <c r="AB51" i="1"/>
  <c r="AA51" i="1"/>
  <c r="Z51" i="1"/>
  <c r="Y51" i="1"/>
  <c r="X51" i="1"/>
  <c r="W51" i="1"/>
  <c r="AF50" i="1"/>
  <c r="AE50" i="1"/>
  <c r="AD50" i="1"/>
  <c r="AC50" i="1"/>
  <c r="AB50" i="1"/>
  <c r="AA50" i="1"/>
  <c r="Z50" i="1"/>
  <c r="Y50" i="1"/>
  <c r="X50" i="1"/>
  <c r="W50" i="1"/>
  <c r="AF49" i="1"/>
  <c r="AE49" i="1"/>
  <c r="AD49" i="1"/>
  <c r="AC49" i="1"/>
  <c r="AB49" i="1"/>
  <c r="AA49" i="1"/>
  <c r="Z49" i="1"/>
  <c r="Y49" i="1"/>
  <c r="X49" i="1"/>
  <c r="W49" i="1"/>
  <c r="AF48" i="1"/>
  <c r="AE48" i="1"/>
  <c r="AD48" i="1"/>
  <c r="AC48" i="1"/>
  <c r="AB48" i="1"/>
  <c r="AA48" i="1"/>
  <c r="Z48" i="1"/>
  <c r="Y48" i="1"/>
  <c r="X48" i="1"/>
  <c r="W48" i="1"/>
  <c r="AF47" i="1"/>
  <c r="AE47" i="1"/>
  <c r="AD47" i="1"/>
  <c r="AC47" i="1"/>
  <c r="AB47" i="1"/>
  <c r="AA47" i="1"/>
  <c r="Z47" i="1"/>
  <c r="Y47" i="1"/>
  <c r="X47" i="1"/>
  <c r="W47" i="1"/>
  <c r="AF46" i="1"/>
  <c r="AE46" i="1"/>
  <c r="AD46" i="1"/>
  <c r="AC46" i="1"/>
  <c r="AB46" i="1"/>
  <c r="AA46" i="1"/>
  <c r="Z46" i="1"/>
  <c r="Y46" i="1"/>
  <c r="X46" i="1"/>
  <c r="W46" i="1"/>
  <c r="AF45" i="1"/>
  <c r="AE45" i="1"/>
  <c r="AD45" i="1"/>
  <c r="AC45" i="1"/>
  <c r="AB45" i="1"/>
  <c r="AA45" i="1"/>
  <c r="Z45" i="1"/>
  <c r="Y45" i="1"/>
  <c r="X45" i="1"/>
  <c r="W45" i="1"/>
  <c r="AF44" i="1"/>
  <c r="AE44" i="1"/>
  <c r="AD44" i="1"/>
  <c r="AC44" i="1"/>
  <c r="AB44" i="1"/>
  <c r="AA44" i="1"/>
  <c r="Z44" i="1"/>
  <c r="Y44" i="1"/>
  <c r="X44" i="1"/>
  <c r="W44" i="1"/>
  <c r="AF43" i="1"/>
  <c r="AE43" i="1"/>
  <c r="AD43" i="1"/>
  <c r="AC43" i="1"/>
  <c r="AB43" i="1"/>
  <c r="AA43" i="1"/>
  <c r="Z43" i="1"/>
  <c r="Y43" i="1"/>
  <c r="X43" i="1"/>
  <c r="W43" i="1"/>
  <c r="AF42" i="1"/>
  <c r="AE42" i="1"/>
  <c r="AD42" i="1"/>
  <c r="AC42" i="1"/>
  <c r="AB42" i="1"/>
  <c r="AA42" i="1"/>
  <c r="Z42" i="1"/>
  <c r="Y42" i="1"/>
  <c r="X42" i="1"/>
  <c r="W42" i="1"/>
  <c r="AF41" i="1"/>
  <c r="AE41" i="1"/>
  <c r="AD41" i="1"/>
  <c r="AC41" i="1"/>
  <c r="AB41" i="1"/>
  <c r="AA41" i="1"/>
  <c r="Z41" i="1"/>
  <c r="Y41" i="1"/>
  <c r="X41" i="1"/>
  <c r="W41" i="1"/>
  <c r="AF40" i="1"/>
  <c r="AE40" i="1"/>
  <c r="AD40" i="1"/>
  <c r="AC40" i="1"/>
  <c r="AB40" i="1"/>
  <c r="AA40" i="1"/>
  <c r="Z40" i="1"/>
  <c r="Y40" i="1"/>
  <c r="X40" i="1"/>
  <c r="W40" i="1"/>
  <c r="AF39" i="1"/>
  <c r="AE39" i="1"/>
  <c r="AD39" i="1"/>
  <c r="AC39" i="1"/>
  <c r="AB39" i="1"/>
  <c r="AA39" i="1"/>
  <c r="Z39" i="1"/>
  <c r="Y39" i="1"/>
  <c r="X39" i="1"/>
  <c r="W39" i="1"/>
  <c r="AF38" i="1"/>
  <c r="AE38" i="1"/>
  <c r="AD38" i="1"/>
  <c r="AC38" i="1"/>
  <c r="AB38" i="1"/>
  <c r="AA38" i="1"/>
  <c r="Z38" i="1"/>
  <c r="Y38" i="1"/>
  <c r="X38" i="1"/>
  <c r="W38" i="1"/>
  <c r="AF37" i="1"/>
  <c r="AE37" i="1"/>
  <c r="AD37" i="1"/>
  <c r="AC37" i="1"/>
  <c r="AB37" i="1"/>
  <c r="AA37" i="1"/>
  <c r="Z37" i="1"/>
  <c r="Y37" i="1"/>
  <c r="X37" i="1"/>
  <c r="W37" i="1"/>
  <c r="AF36" i="1"/>
  <c r="AE36" i="1"/>
  <c r="AD36" i="1"/>
  <c r="AC36" i="1"/>
  <c r="AB36" i="1"/>
  <c r="AA36" i="1"/>
  <c r="Z36" i="1"/>
  <c r="Y36" i="1"/>
  <c r="X36" i="1"/>
  <c r="W36" i="1"/>
  <c r="AF35" i="1"/>
  <c r="AE35" i="1"/>
  <c r="AD35" i="1"/>
  <c r="AC35" i="1"/>
  <c r="AB35" i="1"/>
  <c r="AA35" i="1"/>
  <c r="Z35" i="1"/>
  <c r="Y35" i="1"/>
  <c r="X35" i="1"/>
  <c r="W35" i="1"/>
  <c r="AF34" i="1"/>
  <c r="AE34" i="1"/>
  <c r="AD34" i="1"/>
  <c r="AC34" i="1"/>
  <c r="AB34" i="1"/>
  <c r="AA34" i="1"/>
  <c r="Z34" i="1"/>
  <c r="Y34" i="1"/>
  <c r="X34" i="1"/>
  <c r="W34" i="1"/>
  <c r="AF33" i="1"/>
  <c r="AE33" i="1"/>
  <c r="AD33" i="1"/>
  <c r="AC33" i="1"/>
  <c r="AB33" i="1"/>
  <c r="AA33" i="1"/>
  <c r="Z33" i="1"/>
  <c r="Y33" i="1"/>
  <c r="X33" i="1"/>
  <c r="W33" i="1"/>
  <c r="AF32" i="1"/>
  <c r="AE32" i="1"/>
  <c r="AD32" i="1"/>
  <c r="AC32" i="1"/>
  <c r="AB32" i="1"/>
  <c r="AA32" i="1"/>
  <c r="Z32" i="1"/>
  <c r="Y32" i="1"/>
  <c r="X32" i="1"/>
  <c r="W32" i="1"/>
  <c r="AF31" i="1"/>
  <c r="AE31" i="1"/>
  <c r="AD31" i="1"/>
  <c r="AC31" i="1"/>
  <c r="AB31" i="1"/>
  <c r="AA31" i="1"/>
  <c r="Z31" i="1"/>
  <c r="Y31" i="1"/>
  <c r="X31" i="1"/>
  <c r="W31" i="1"/>
  <c r="AF30" i="1"/>
  <c r="AE30" i="1"/>
  <c r="AD30" i="1"/>
  <c r="AC30" i="1"/>
  <c r="AB30" i="1"/>
  <c r="AA30" i="1"/>
  <c r="Z30" i="1"/>
  <c r="Y30" i="1"/>
  <c r="X30" i="1"/>
  <c r="W30" i="1"/>
  <c r="AF29" i="1"/>
  <c r="AE29" i="1"/>
  <c r="AD29" i="1"/>
  <c r="AC29" i="1"/>
  <c r="AB29" i="1"/>
  <c r="AA29" i="1"/>
  <c r="Z29" i="1"/>
  <c r="Y29" i="1"/>
  <c r="X29" i="1"/>
  <c r="W29" i="1"/>
  <c r="AF28" i="1"/>
  <c r="AE28" i="1"/>
  <c r="AD28" i="1"/>
  <c r="AC28" i="1"/>
  <c r="AB28" i="1"/>
  <c r="AA28" i="1"/>
  <c r="Z28" i="1"/>
  <c r="Y28" i="1"/>
  <c r="X28" i="1"/>
  <c r="W28" i="1"/>
  <c r="AF27" i="1"/>
  <c r="AE27" i="1"/>
  <c r="AD27" i="1"/>
  <c r="AC27" i="1"/>
  <c r="AB27" i="1"/>
  <c r="AA27" i="1"/>
  <c r="Z27" i="1"/>
  <c r="Y27" i="1"/>
  <c r="X27" i="1"/>
  <c r="W27" i="1"/>
  <c r="AF26" i="1"/>
  <c r="AE26" i="1"/>
  <c r="AD26" i="1"/>
  <c r="AC26" i="1"/>
  <c r="AB26" i="1"/>
  <c r="AA26" i="1"/>
  <c r="Z26" i="1"/>
  <c r="Y26" i="1"/>
  <c r="X26" i="1"/>
  <c r="W26" i="1"/>
  <c r="AF25" i="1"/>
  <c r="AE25" i="1"/>
  <c r="AD25" i="1"/>
  <c r="AC25" i="1"/>
  <c r="AB25" i="1"/>
  <c r="AA25" i="1"/>
  <c r="Z25" i="1"/>
  <c r="Y25" i="1"/>
  <c r="X25" i="1"/>
  <c r="W25" i="1"/>
  <c r="AF24" i="1"/>
  <c r="AE24" i="1"/>
  <c r="AD24" i="1"/>
  <c r="AC24" i="1"/>
  <c r="AB24" i="1"/>
  <c r="AA24" i="1"/>
  <c r="Z24" i="1"/>
  <c r="Y24" i="1"/>
  <c r="X24" i="1"/>
  <c r="W24" i="1"/>
  <c r="AF23" i="1"/>
  <c r="AE23" i="1"/>
  <c r="AD23" i="1"/>
  <c r="AC23" i="1"/>
  <c r="AB23" i="1"/>
  <c r="AA23" i="1"/>
  <c r="Z23" i="1"/>
  <c r="Y23" i="1"/>
  <c r="X23" i="1"/>
  <c r="W23" i="1"/>
  <c r="AF22" i="1"/>
  <c r="AE22" i="1"/>
  <c r="AD22" i="1"/>
  <c r="AC22" i="1"/>
  <c r="AB22" i="1"/>
  <c r="AA22" i="1"/>
  <c r="Z22" i="1"/>
  <c r="Y22" i="1"/>
  <c r="X22" i="1"/>
  <c r="W22" i="1"/>
  <c r="AF21" i="1"/>
  <c r="AE21" i="1"/>
  <c r="AD21" i="1"/>
  <c r="AC21" i="1"/>
  <c r="AB21" i="1"/>
  <c r="AA21" i="1"/>
  <c r="Z21" i="1"/>
  <c r="Y21" i="1"/>
  <c r="X21" i="1"/>
  <c r="W21" i="1"/>
  <c r="AF20" i="1"/>
  <c r="AE20" i="1"/>
  <c r="AD20" i="1"/>
  <c r="AC20" i="1"/>
  <c r="AB20" i="1"/>
  <c r="AA20" i="1"/>
  <c r="Z20" i="1"/>
  <c r="Y20" i="1"/>
  <c r="X20" i="1"/>
  <c r="W20" i="1"/>
  <c r="AF19" i="1"/>
  <c r="AE19" i="1"/>
  <c r="AD19" i="1"/>
  <c r="AC19" i="1"/>
  <c r="AB19" i="1"/>
  <c r="AA19" i="1"/>
  <c r="Z19" i="1"/>
  <c r="Y19" i="1"/>
  <c r="X19" i="1"/>
  <c r="W19" i="1"/>
  <c r="E27" i="3" l="1"/>
  <c r="D27" i="3"/>
  <c r="E26" i="3"/>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6" i="3"/>
  <c r="D6" i="3"/>
  <c r="E5" i="3"/>
  <c r="D5" i="3"/>
  <c r="E4" i="3"/>
  <c r="D4" i="3"/>
  <c r="E3" i="3"/>
  <c r="D3" i="3"/>
  <c r="I3" i="2"/>
  <c r="I21" i="2" l="1"/>
  <c r="I23" i="2"/>
  <c r="I22" i="2"/>
  <c r="I18" i="2"/>
  <c r="I14" i="2"/>
  <c r="I10" i="2"/>
  <c r="I6" i="2"/>
  <c r="I17" i="2"/>
  <c r="I13" i="2"/>
  <c r="I9" i="2"/>
  <c r="I5" i="2"/>
  <c r="I4" i="2"/>
  <c r="I15" i="2"/>
  <c r="I11" i="2"/>
  <c r="I7" i="2"/>
  <c r="J6" i="5"/>
  <c r="L2" i="1"/>
  <c r="B86" i="5"/>
  <c r="O15" i="12"/>
  <c r="O16" i="12"/>
  <c r="O17" i="12"/>
  <c r="O18" i="12"/>
  <c r="O20" i="12"/>
  <c r="O21" i="12"/>
  <c r="O42" i="12"/>
  <c r="O44" i="12"/>
  <c r="O45" i="12"/>
  <c r="O62" i="12"/>
  <c r="O63" i="12"/>
  <c r="O65" i="12"/>
  <c r="O66" i="12"/>
  <c r="O67" i="12"/>
  <c r="O68" i="12"/>
  <c r="O69" i="12"/>
  <c r="O71" i="12"/>
  <c r="O72" i="12"/>
  <c r="O73" i="12"/>
  <c r="O74" i="12"/>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E21" i="1"/>
  <c r="F20" i="1"/>
  <c r="E20" i="1"/>
  <c r="F19" i="1"/>
  <c r="E19" i="1"/>
  <c r="U63" i="12" l="1"/>
  <c r="U64" i="12"/>
  <c r="U74" i="12"/>
  <c r="K88" i="1"/>
  <c r="K78" i="1"/>
  <c r="K77" i="1"/>
  <c r="U46" i="12"/>
  <c r="K60" i="1"/>
  <c r="K59" i="1"/>
  <c r="K58" i="1"/>
  <c r="K56" i="1"/>
  <c r="K62" i="1"/>
  <c r="K54" i="1"/>
  <c r="U49" i="12"/>
  <c r="K63" i="1"/>
  <c r="U37" i="12"/>
  <c r="U69" i="12"/>
  <c r="K80" i="1"/>
  <c r="K83" i="1"/>
  <c r="K79" i="1"/>
  <c r="K82" i="1"/>
  <c r="K81" i="1"/>
  <c r="K76" i="1"/>
  <c r="K75" i="1"/>
  <c r="K74" i="1"/>
  <c r="K72" i="1"/>
  <c r="K68" i="1"/>
  <c r="K64" i="1"/>
  <c r="K71" i="1"/>
  <c r="K67" i="1"/>
  <c r="K86" i="1"/>
  <c r="K70" i="1"/>
  <c r="K66" i="1"/>
  <c r="R52" i="12" s="1"/>
  <c r="K73" i="1"/>
  <c r="K69" i="1"/>
  <c r="K65" i="1"/>
  <c r="R51" i="12" s="1"/>
  <c r="K84" i="1"/>
  <c r="K55" i="1"/>
  <c r="K61" i="1"/>
  <c r="K57" i="1"/>
  <c r="U71" i="12"/>
  <c r="K85" i="1"/>
  <c r="U23" i="12"/>
  <c r="U40" i="12"/>
  <c r="U48" i="12"/>
  <c r="U42" i="12"/>
  <c r="U15" i="12"/>
  <c r="U22" i="12"/>
  <c r="U47" i="12"/>
  <c r="U17" i="12"/>
  <c r="U70" i="12"/>
  <c r="U43" i="12"/>
  <c r="U41" i="12"/>
  <c r="U20" i="12"/>
  <c r="U16" i="12"/>
  <c r="U18" i="12"/>
  <c r="U19" i="12"/>
  <c r="U25" i="12"/>
  <c r="U21" i="12"/>
  <c r="U67" i="12"/>
  <c r="U68" i="12"/>
  <c r="U65" i="12"/>
  <c r="U66" i="12"/>
  <c r="U53" i="12"/>
  <c r="U55" i="12"/>
  <c r="U51" i="12"/>
  <c r="U52" i="12"/>
  <c r="U39" i="12"/>
  <c r="U38" i="12"/>
  <c r="U62" i="12"/>
  <c r="U72" i="12"/>
  <c r="U60" i="12"/>
  <c r="U61" i="12"/>
  <c r="U58" i="12"/>
  <c r="U59" i="12"/>
  <c r="U56" i="12"/>
  <c r="U57" i="12"/>
  <c r="U50" i="12"/>
  <c r="U54" i="12"/>
  <c r="U44" i="12"/>
  <c r="U45" i="12"/>
  <c r="U35" i="12"/>
  <c r="U36" i="12"/>
  <c r="U33" i="12"/>
  <c r="U34" i="12"/>
  <c r="U31" i="12"/>
  <c r="U32" i="12"/>
  <c r="U29" i="12"/>
  <c r="U30" i="12"/>
  <c r="U27" i="12"/>
  <c r="U28" i="12"/>
  <c r="U24" i="12"/>
  <c r="U26" i="12"/>
  <c r="AK15" i="5"/>
  <c r="AA21" i="12" l="1"/>
  <c r="AA20" i="12"/>
  <c r="C4" i="1"/>
  <c r="L6" i="1"/>
  <c r="L5" i="1"/>
  <c r="L4" i="1"/>
  <c r="AB20" i="12" l="1"/>
  <c r="P52" i="1"/>
  <c r="O52" i="1"/>
  <c r="P53" i="1"/>
  <c r="O53" i="1"/>
  <c r="H53" i="1"/>
  <c r="H48" i="1"/>
  <c r="H44" i="1"/>
  <c r="H40" i="1"/>
  <c r="H43" i="1"/>
  <c r="H51" i="1"/>
  <c r="H46" i="1"/>
  <c r="H45" i="1"/>
  <c r="H52" i="1"/>
  <c r="H47" i="1"/>
  <c r="H39" i="1"/>
  <c r="H42" i="1"/>
  <c r="H50" i="1"/>
  <c r="H41" i="1"/>
  <c r="W14" i="12"/>
  <c r="W12" i="12"/>
  <c r="P29" i="1"/>
  <c r="P31" i="1"/>
  <c r="P33" i="1"/>
  <c r="P35" i="1"/>
  <c r="P39" i="1"/>
  <c r="P41" i="1"/>
  <c r="P43" i="1"/>
  <c r="P45" i="1"/>
  <c r="P47" i="1"/>
  <c r="P49" i="1"/>
  <c r="P51" i="1"/>
  <c r="O30" i="1"/>
  <c r="O32" i="1"/>
  <c r="O34" i="1"/>
  <c r="O36" i="1"/>
  <c r="O38" i="1"/>
  <c r="O40" i="1"/>
  <c r="O42" i="1"/>
  <c r="O44" i="1"/>
  <c r="O46" i="1"/>
  <c r="O48" i="1"/>
  <c r="O50" i="1"/>
  <c r="P30" i="1"/>
  <c r="P32" i="1"/>
  <c r="P34" i="1"/>
  <c r="P36" i="1"/>
  <c r="P38" i="1"/>
  <c r="P40" i="1"/>
  <c r="P42" i="1"/>
  <c r="P44" i="1"/>
  <c r="P46" i="1"/>
  <c r="P48" i="1"/>
  <c r="P50" i="1"/>
  <c r="O29" i="1"/>
  <c r="O31" i="1"/>
  <c r="O33" i="1"/>
  <c r="O35" i="1"/>
  <c r="O37" i="1"/>
  <c r="O39" i="1"/>
  <c r="O41" i="1"/>
  <c r="O43" i="1"/>
  <c r="O45" i="1"/>
  <c r="O47" i="1"/>
  <c r="O49" i="1"/>
  <c r="O51" i="1"/>
  <c r="P37" i="1"/>
  <c r="W13" i="12"/>
  <c r="J9" i="4"/>
  <c r="L9" i="4" s="1"/>
  <c r="S17" i="12" l="1"/>
  <c r="K31" i="1"/>
  <c r="S31" i="12"/>
  <c r="K45" i="1"/>
  <c r="S23" i="12"/>
  <c r="K37" i="1"/>
  <c r="S15" i="12"/>
  <c r="K29" i="1"/>
  <c r="S36" i="12"/>
  <c r="K50" i="1"/>
  <c r="S28" i="12"/>
  <c r="K42" i="1"/>
  <c r="S20" i="12"/>
  <c r="K34" i="1"/>
  <c r="S38" i="12"/>
  <c r="K52" i="1"/>
  <c r="S33" i="12"/>
  <c r="K47" i="1"/>
  <c r="S30" i="12"/>
  <c r="K44" i="1"/>
  <c r="S37" i="12"/>
  <c r="K51" i="1"/>
  <c r="S21" i="12"/>
  <c r="K35" i="1"/>
  <c r="S34" i="12"/>
  <c r="K48" i="1"/>
  <c r="S26" i="12"/>
  <c r="K40" i="1"/>
  <c r="S18" i="12"/>
  <c r="K32" i="1"/>
  <c r="S25" i="12"/>
  <c r="K39" i="1"/>
  <c r="S22" i="12"/>
  <c r="K36" i="1"/>
  <c r="S29" i="12"/>
  <c r="K43" i="1"/>
  <c r="S35" i="12"/>
  <c r="K49" i="1"/>
  <c r="S27" i="12"/>
  <c r="K41" i="1"/>
  <c r="S19" i="12"/>
  <c r="K33" i="1"/>
  <c r="S32" i="12"/>
  <c r="K46" i="1"/>
  <c r="S24" i="12"/>
  <c r="K38" i="1"/>
  <c r="S16" i="12"/>
  <c r="K30" i="1"/>
  <c r="S39" i="12"/>
  <c r="K53" i="1"/>
  <c r="N29" i="12"/>
  <c r="O29" i="12" s="1"/>
  <c r="AB19" i="12"/>
  <c r="N26" i="12"/>
  <c r="O26" i="12" s="1"/>
  <c r="N25" i="12"/>
  <c r="O25" i="12" s="1"/>
  <c r="O24" i="12"/>
  <c r="N28" i="12"/>
  <c r="O28" i="12" s="1"/>
  <c r="N27" i="12"/>
  <c r="O27" i="12" s="1"/>
  <c r="L3" i="1"/>
  <c r="X10" i="12"/>
  <c r="N31" i="12" l="1"/>
  <c r="O31" i="12" s="1"/>
  <c r="J45" i="1" s="1"/>
  <c r="N35" i="12"/>
  <c r="O35" i="12" s="1"/>
  <c r="J49" i="1" s="1"/>
  <c r="N37" i="12"/>
  <c r="O37" i="12" s="1"/>
  <c r="N30" i="12"/>
  <c r="O30" i="12" s="1"/>
  <c r="J44" i="1" s="1"/>
  <c r="N34" i="12"/>
  <c r="O34" i="12" s="1"/>
  <c r="J48" i="1" s="1"/>
  <c r="N39" i="12"/>
  <c r="O39" i="12" s="1"/>
  <c r="N33" i="12"/>
  <c r="N36" i="12"/>
  <c r="N32" i="12"/>
  <c r="O32" i="12" s="1"/>
  <c r="N38" i="12"/>
  <c r="O38" i="12" s="1"/>
  <c r="J52" i="1" s="1"/>
  <c r="M3" i="1"/>
  <c r="W10" i="12"/>
  <c r="M4" i="1"/>
  <c r="M6" i="1"/>
  <c r="M5" i="1"/>
  <c r="W11" i="12"/>
  <c r="J88" i="1"/>
  <c r="J87" i="1"/>
  <c r="J85" i="1"/>
  <c r="J83" i="1"/>
  <c r="J82" i="1"/>
  <c r="J81" i="1"/>
  <c r="J80" i="1"/>
  <c r="J79" i="1"/>
  <c r="O64" i="12"/>
  <c r="J78" i="1" s="1"/>
  <c r="J77" i="1"/>
  <c r="J76" i="1"/>
  <c r="O61" i="12"/>
  <c r="J75" i="1" s="1"/>
  <c r="O60" i="12"/>
  <c r="J74" i="1" s="1"/>
  <c r="O58" i="12"/>
  <c r="J72" i="1" s="1"/>
  <c r="O57" i="12"/>
  <c r="J71" i="1" s="1"/>
  <c r="O56" i="12"/>
  <c r="J70" i="1" s="1"/>
  <c r="O55" i="12"/>
  <c r="J69" i="1" s="1"/>
  <c r="O54" i="12"/>
  <c r="J68" i="1" s="1"/>
  <c r="O53" i="12"/>
  <c r="J67" i="1" s="1"/>
  <c r="O52" i="12"/>
  <c r="J66" i="1" s="1"/>
  <c r="O51" i="12"/>
  <c r="J65" i="1" s="1"/>
  <c r="J63" i="1"/>
  <c r="O43" i="12"/>
  <c r="J57" i="1" s="1"/>
  <c r="J56" i="1"/>
  <c r="O41" i="12"/>
  <c r="J55" i="1" s="1"/>
  <c r="O40" i="12"/>
  <c r="J54" i="1" s="1"/>
  <c r="J43" i="1"/>
  <c r="J41" i="1"/>
  <c r="J40" i="1"/>
  <c r="J39" i="1"/>
  <c r="J38" i="1"/>
  <c r="J34" i="1"/>
  <c r="J32" i="1"/>
  <c r="J31" i="1"/>
  <c r="J30" i="1"/>
  <c r="J29" i="1"/>
  <c r="O14" i="12"/>
  <c r="J28" i="1" s="1"/>
  <c r="O13" i="12"/>
  <c r="J27" i="1" s="1"/>
  <c r="O12" i="12"/>
  <c r="J26" i="1" s="1"/>
  <c r="O11" i="12"/>
  <c r="J25" i="1" s="1"/>
  <c r="O10" i="12"/>
  <c r="J24" i="1" s="1"/>
  <c r="O9" i="12"/>
  <c r="J23" i="1" s="1"/>
  <c r="O8" i="12"/>
  <c r="J22" i="1" s="1"/>
  <c r="O7" i="12"/>
  <c r="J21" i="1" s="1"/>
  <c r="O6" i="12"/>
  <c r="J20" i="1" s="1"/>
  <c r="S95" i="5"/>
  <c r="H95" i="5"/>
  <c r="S94" i="5"/>
  <c r="H94" i="5"/>
  <c r="S93" i="5"/>
  <c r="H93" i="5"/>
  <c r="S92" i="5"/>
  <c r="H92" i="5"/>
  <c r="S91" i="5"/>
  <c r="H91" i="5"/>
  <c r="S90" i="5"/>
  <c r="H90" i="5"/>
  <c r="S89" i="5"/>
  <c r="H89" i="5"/>
  <c r="S88" i="5"/>
  <c r="H88" i="5"/>
  <c r="S87" i="5"/>
  <c r="H87" i="5"/>
  <c r="S86" i="5"/>
  <c r="H86" i="5"/>
  <c r="S85" i="5"/>
  <c r="H85" i="5"/>
  <c r="S84" i="5"/>
  <c r="H84" i="5"/>
  <c r="S83" i="5"/>
  <c r="H83" i="5"/>
  <c r="S82" i="5"/>
  <c r="H82" i="5"/>
  <c r="S81" i="5"/>
  <c r="H81" i="5"/>
  <c r="S80" i="5"/>
  <c r="H80" i="5"/>
  <c r="S79" i="5"/>
  <c r="H79" i="5"/>
  <c r="S78" i="5"/>
  <c r="H78" i="5"/>
  <c r="S77" i="5"/>
  <c r="H77" i="5"/>
  <c r="S76" i="5"/>
  <c r="H76" i="5"/>
  <c r="S75" i="5"/>
  <c r="H75" i="5"/>
  <c r="S74" i="5"/>
  <c r="H74" i="5"/>
  <c r="S73" i="5"/>
  <c r="H73" i="5"/>
  <c r="S72" i="5"/>
  <c r="H72" i="5"/>
  <c r="S71" i="5"/>
  <c r="H71" i="5"/>
  <c r="S70" i="5"/>
  <c r="H70" i="5"/>
  <c r="S69" i="5"/>
  <c r="H69" i="5"/>
  <c r="S68" i="5"/>
  <c r="H68" i="5"/>
  <c r="S67" i="5"/>
  <c r="H67" i="5"/>
  <c r="S66" i="5"/>
  <c r="H66" i="5"/>
  <c r="S65" i="5"/>
  <c r="H65" i="5"/>
  <c r="S64" i="5"/>
  <c r="H64" i="5"/>
  <c r="S63" i="5"/>
  <c r="H63" i="5"/>
  <c r="S62" i="5"/>
  <c r="H62" i="5"/>
  <c r="S61" i="5"/>
  <c r="H61" i="5"/>
  <c r="S60" i="5"/>
  <c r="H60" i="5"/>
  <c r="S59" i="5"/>
  <c r="H59" i="5"/>
  <c r="S58" i="5"/>
  <c r="H58" i="5"/>
  <c r="S57" i="5"/>
  <c r="H57" i="5"/>
  <c r="S56" i="5"/>
  <c r="H56" i="5"/>
  <c r="S55" i="5"/>
  <c r="H55" i="5"/>
  <c r="S54" i="5"/>
  <c r="H54" i="5"/>
  <c r="S53" i="5"/>
  <c r="H53" i="5"/>
  <c r="S52" i="5"/>
  <c r="H52" i="5"/>
  <c r="S51" i="5"/>
  <c r="H51" i="5"/>
  <c r="S50" i="5"/>
  <c r="H50" i="5"/>
  <c r="S49" i="5"/>
  <c r="H49" i="5"/>
  <c r="S48" i="5"/>
  <c r="H48" i="5"/>
  <c r="S47" i="5"/>
  <c r="H47" i="5"/>
  <c r="S46" i="5"/>
  <c r="H46" i="5"/>
  <c r="S45" i="5"/>
  <c r="H45" i="5"/>
  <c r="S44" i="5"/>
  <c r="H44" i="5"/>
  <c r="S43" i="5"/>
  <c r="H43" i="5"/>
  <c r="S42" i="5"/>
  <c r="H42" i="5"/>
  <c r="S41" i="5"/>
  <c r="H41" i="5"/>
  <c r="S40" i="5"/>
  <c r="H40" i="5"/>
  <c r="S39" i="5"/>
  <c r="H39" i="5"/>
  <c r="S38" i="5"/>
  <c r="H38" i="5"/>
  <c r="S37" i="5"/>
  <c r="H37" i="5"/>
  <c r="S36" i="5"/>
  <c r="H36" i="5"/>
  <c r="S35" i="5"/>
  <c r="H35" i="5"/>
  <c r="S34" i="5"/>
  <c r="H34" i="5"/>
  <c r="S33" i="5"/>
  <c r="H33" i="5"/>
  <c r="S32" i="5"/>
  <c r="H32" i="5"/>
  <c r="S31" i="5"/>
  <c r="H31" i="5"/>
  <c r="S30" i="5"/>
  <c r="H30" i="5"/>
  <c r="S29" i="5"/>
  <c r="H29" i="5"/>
  <c r="S28" i="5"/>
  <c r="H28" i="5"/>
  <c r="S27" i="5"/>
  <c r="H27" i="5"/>
  <c r="S26" i="5"/>
  <c r="H26" i="5"/>
  <c r="O5" i="12"/>
  <c r="J19" i="1" s="1"/>
  <c r="X13" i="12" l="1"/>
  <c r="N47" i="12" s="1"/>
  <c r="X11" i="12"/>
  <c r="N59" i="12" s="1"/>
  <c r="O59" i="12" s="1"/>
  <c r="J73" i="1" s="1"/>
  <c r="X14" i="12"/>
  <c r="AP21" i="12" s="1"/>
  <c r="AB21" i="12" s="1"/>
  <c r="N46" i="12" s="1"/>
  <c r="X12" i="12"/>
  <c r="D8" i="1"/>
  <c r="D7" i="1"/>
  <c r="D6" i="1"/>
  <c r="D16" i="2"/>
  <c r="E16" i="2"/>
  <c r="F16" i="2"/>
  <c r="G16" i="2"/>
  <c r="H16" i="2"/>
  <c r="C16" i="2"/>
  <c r="I16" i="2" s="1"/>
  <c r="D12" i="2"/>
  <c r="E12" i="2"/>
  <c r="F12" i="2"/>
  <c r="G12" i="2"/>
  <c r="H12" i="2"/>
  <c r="C12" i="2"/>
  <c r="I12" i="2" s="1"/>
  <c r="D8" i="2"/>
  <c r="E8" i="2"/>
  <c r="F8" i="2"/>
  <c r="G8" i="2"/>
  <c r="H8" i="2"/>
  <c r="C8" i="2"/>
  <c r="I8" i="2" s="1"/>
  <c r="N50" i="12" l="1"/>
  <c r="O50" i="12" s="1"/>
  <c r="J64" i="1" s="1"/>
  <c r="J86" i="1"/>
  <c r="N70" i="12"/>
  <c r="O70" i="12" s="1"/>
  <c r="J84" i="1" s="1"/>
  <c r="F19" i="2"/>
  <c r="C19" i="2"/>
  <c r="E19" i="2"/>
  <c r="G19" i="2"/>
  <c r="H19" i="2"/>
  <c r="D19" i="2"/>
  <c r="Z31" i="2"/>
  <c r="Y31" i="2"/>
  <c r="X31" i="2"/>
  <c r="W31" i="2"/>
  <c r="V31" i="2"/>
  <c r="U31" i="2"/>
  <c r="T31" i="2"/>
  <c r="S31" i="2"/>
  <c r="R31" i="2"/>
  <c r="Q31" i="2"/>
  <c r="P31" i="2"/>
  <c r="O31" i="2"/>
  <c r="N31" i="2"/>
  <c r="M31" i="2"/>
  <c r="Z30" i="2"/>
  <c r="Y30" i="2"/>
  <c r="X30" i="2"/>
  <c r="W30" i="2"/>
  <c r="V30" i="2"/>
  <c r="U30" i="2"/>
  <c r="T30" i="2"/>
  <c r="S30" i="2"/>
  <c r="R30" i="2"/>
  <c r="Q30" i="2"/>
  <c r="P30" i="2"/>
  <c r="O30" i="2"/>
  <c r="N30" i="2"/>
  <c r="M30" i="2"/>
  <c r="Z29" i="2"/>
  <c r="Y29" i="2"/>
  <c r="X29" i="2"/>
  <c r="W29" i="2"/>
  <c r="V29" i="2"/>
  <c r="U29" i="2"/>
  <c r="T29" i="2"/>
  <c r="S29" i="2"/>
  <c r="R29" i="2"/>
  <c r="Q29" i="2"/>
  <c r="P29" i="2"/>
  <c r="O29" i="2"/>
  <c r="N29" i="2"/>
  <c r="M29" i="2"/>
  <c r="Z28" i="2"/>
  <c r="Y28" i="2"/>
  <c r="X28" i="2"/>
  <c r="W28" i="2"/>
  <c r="V28" i="2"/>
  <c r="U28" i="2"/>
  <c r="T28" i="2"/>
  <c r="S28" i="2"/>
  <c r="R28" i="2"/>
  <c r="Q28" i="2"/>
  <c r="P28" i="2"/>
  <c r="O28" i="2"/>
  <c r="N28" i="2"/>
  <c r="M28" i="2"/>
  <c r="Z27" i="2"/>
  <c r="Y27" i="2"/>
  <c r="X27" i="2"/>
  <c r="W27" i="2"/>
  <c r="V27" i="2"/>
  <c r="U27" i="2"/>
  <c r="T27" i="2"/>
  <c r="S27" i="2"/>
  <c r="R27" i="2"/>
  <c r="Q27" i="2"/>
  <c r="P27" i="2"/>
  <c r="O27" i="2"/>
  <c r="N27" i="2"/>
  <c r="M27" i="2"/>
  <c r="Z26" i="2"/>
  <c r="Y26" i="2"/>
  <c r="X26" i="2"/>
  <c r="W26" i="2"/>
  <c r="V26" i="2"/>
  <c r="U26" i="2"/>
  <c r="T26" i="2"/>
  <c r="S26" i="2"/>
  <c r="R26" i="2"/>
  <c r="Q26" i="2"/>
  <c r="P26" i="2"/>
  <c r="O26" i="2"/>
  <c r="N26" i="2"/>
  <c r="M26" i="2"/>
  <c r="Z25" i="2"/>
  <c r="Y25" i="2"/>
  <c r="X25" i="2"/>
  <c r="W25" i="2"/>
  <c r="V25" i="2"/>
  <c r="U25" i="2"/>
  <c r="T25" i="2"/>
  <c r="S25" i="2"/>
  <c r="R25" i="2"/>
  <c r="Q25" i="2"/>
  <c r="P25" i="2"/>
  <c r="O25" i="2"/>
  <c r="N25" i="2"/>
  <c r="M25" i="2"/>
  <c r="Z24" i="2"/>
  <c r="Y24" i="2"/>
  <c r="X24" i="2"/>
  <c r="W24" i="2"/>
  <c r="V24" i="2"/>
  <c r="U24" i="2"/>
  <c r="T24" i="2"/>
  <c r="S24" i="2"/>
  <c r="R24" i="2"/>
  <c r="Q24" i="2"/>
  <c r="P24" i="2"/>
  <c r="O24" i="2"/>
  <c r="N24" i="2"/>
  <c r="M24" i="2"/>
  <c r="Z23" i="2"/>
  <c r="Y23" i="2"/>
  <c r="X23" i="2"/>
  <c r="W23" i="2"/>
  <c r="V23" i="2"/>
  <c r="U23" i="2"/>
  <c r="T23" i="2"/>
  <c r="S23" i="2"/>
  <c r="R23" i="2"/>
  <c r="Q23" i="2"/>
  <c r="P23" i="2"/>
  <c r="O23" i="2"/>
  <c r="N23" i="2"/>
  <c r="M23" i="2"/>
  <c r="Z22" i="2"/>
  <c r="Y22" i="2"/>
  <c r="X22" i="2"/>
  <c r="W22" i="2"/>
  <c r="V22" i="2"/>
  <c r="U22" i="2"/>
  <c r="T22" i="2"/>
  <c r="S22" i="2"/>
  <c r="R22" i="2"/>
  <c r="Q22" i="2"/>
  <c r="P22" i="2"/>
  <c r="O22" i="2"/>
  <c r="N22" i="2"/>
  <c r="M22" i="2"/>
  <c r="Z21" i="2"/>
  <c r="Y21" i="2"/>
  <c r="X21" i="2"/>
  <c r="W21" i="2"/>
  <c r="V21" i="2"/>
  <c r="U21" i="2"/>
  <c r="T21" i="2"/>
  <c r="S21" i="2"/>
  <c r="R21" i="2"/>
  <c r="Q21" i="2"/>
  <c r="P21" i="2"/>
  <c r="O21" i="2"/>
  <c r="N21" i="2"/>
  <c r="M21" i="2"/>
  <c r="Z15" i="2"/>
  <c r="Z32" i="2" s="1"/>
  <c r="Y15" i="2"/>
  <c r="Y32" i="2" s="1"/>
  <c r="X15" i="2"/>
  <c r="X32" i="2" s="1"/>
  <c r="W15" i="2"/>
  <c r="W32" i="2" s="1"/>
  <c r="V15" i="2"/>
  <c r="V32" i="2" s="1"/>
  <c r="U15" i="2"/>
  <c r="U32" i="2" s="1"/>
  <c r="T15" i="2"/>
  <c r="T32" i="2" s="1"/>
  <c r="S15" i="2"/>
  <c r="S32" i="2" s="1"/>
  <c r="R15" i="2"/>
  <c r="R32" i="2" s="1"/>
  <c r="Q15" i="2"/>
  <c r="Q32" i="2" s="1"/>
  <c r="P15" i="2"/>
  <c r="P32" i="2" s="1"/>
  <c r="O15" i="2"/>
  <c r="O32" i="2" s="1"/>
  <c r="N15" i="2"/>
  <c r="N32" i="2" s="1"/>
  <c r="M15" i="2"/>
  <c r="M32" i="2" s="1"/>
  <c r="AA21" i="2" l="1"/>
  <c r="AA23" i="2"/>
  <c r="AA27" i="2"/>
  <c r="AA31" i="2"/>
  <c r="AA25" i="2"/>
  <c r="AA29" i="2"/>
  <c r="AA22" i="2"/>
  <c r="AA24" i="2"/>
  <c r="AA26" i="2"/>
  <c r="AA28" i="2"/>
  <c r="AA30" i="2"/>
  <c r="AA32" i="2" l="1"/>
  <c r="H9" i="6"/>
  <c r="H8" i="6"/>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4" i="5"/>
  <c r="AR86" i="5"/>
  <c r="AR87" i="5"/>
  <c r="AR88" i="5"/>
  <c r="AR89" i="5"/>
  <c r="AR90" i="5"/>
  <c r="AR91" i="5"/>
  <c r="AR92" i="5"/>
  <c r="AR93" i="5"/>
  <c r="AR94" i="5"/>
  <c r="AR95" i="5"/>
  <c r="AR26" i="5"/>
  <c r="G88" i="1"/>
  <c r="I88" i="1" s="1"/>
  <c r="L88" i="1" s="1"/>
  <c r="G87" i="1"/>
  <c r="I87" i="1" s="1"/>
  <c r="L87" i="1" s="1"/>
  <c r="G86" i="1"/>
  <c r="I86" i="1" s="1"/>
  <c r="L86" i="1" s="1"/>
  <c r="G85" i="1"/>
  <c r="I85" i="1" s="1"/>
  <c r="L85" i="1" s="1"/>
  <c r="G84" i="1"/>
  <c r="I84" i="1" s="1"/>
  <c r="L84" i="1" s="1"/>
  <c r="G83" i="1"/>
  <c r="I83" i="1" s="1"/>
  <c r="L83" i="1" s="1"/>
  <c r="G82" i="1"/>
  <c r="I82" i="1" s="1"/>
  <c r="L82" i="1" s="1"/>
  <c r="G81" i="1"/>
  <c r="I81" i="1" s="1"/>
  <c r="L81" i="1" s="1"/>
  <c r="G80" i="1"/>
  <c r="I80" i="1" s="1"/>
  <c r="L80" i="1" s="1"/>
  <c r="G79" i="1"/>
  <c r="I79" i="1" s="1"/>
  <c r="L79" i="1" s="1"/>
  <c r="G78" i="1"/>
  <c r="I78" i="1" s="1"/>
  <c r="L78" i="1" s="1"/>
  <c r="G77" i="1"/>
  <c r="I77" i="1" s="1"/>
  <c r="L77" i="1" s="1"/>
  <c r="G76" i="1"/>
  <c r="I76" i="1" s="1"/>
  <c r="L76" i="1" s="1"/>
  <c r="G75" i="1"/>
  <c r="I75" i="1" s="1"/>
  <c r="L75" i="1" s="1"/>
  <c r="G74" i="1"/>
  <c r="I74" i="1" s="1"/>
  <c r="L74" i="1" s="1"/>
  <c r="G73" i="1"/>
  <c r="I73" i="1" s="1"/>
  <c r="L73" i="1" s="1"/>
  <c r="G72" i="1"/>
  <c r="I72" i="1" s="1"/>
  <c r="L72" i="1" s="1"/>
  <c r="G71" i="1"/>
  <c r="I71" i="1" s="1"/>
  <c r="L71" i="1" s="1"/>
  <c r="G70" i="1"/>
  <c r="I70" i="1" s="1"/>
  <c r="L70" i="1" s="1"/>
  <c r="G69" i="1"/>
  <c r="I69" i="1" s="1"/>
  <c r="L69" i="1" s="1"/>
  <c r="G68" i="1"/>
  <c r="I68" i="1" s="1"/>
  <c r="L68" i="1" s="1"/>
  <c r="G67" i="1"/>
  <c r="I67" i="1" s="1"/>
  <c r="L67" i="1" s="1"/>
  <c r="G66" i="1"/>
  <c r="I66" i="1" s="1"/>
  <c r="L66" i="1" s="1"/>
  <c r="G65" i="1"/>
  <c r="I65" i="1" s="1"/>
  <c r="L65" i="1" s="1"/>
  <c r="G64" i="1"/>
  <c r="I64" i="1" s="1"/>
  <c r="L64" i="1" s="1"/>
  <c r="G63" i="1"/>
  <c r="I63" i="1" s="1"/>
  <c r="L63" i="1" s="1"/>
  <c r="G62" i="1"/>
  <c r="I62" i="1" s="1"/>
  <c r="G61" i="1"/>
  <c r="I61" i="1" s="1"/>
  <c r="G60" i="1"/>
  <c r="I60" i="1" s="1"/>
  <c r="G59" i="1"/>
  <c r="I59" i="1" s="1"/>
  <c r="G58" i="1"/>
  <c r="I58" i="1" s="1"/>
  <c r="G57" i="1"/>
  <c r="I57" i="1" s="1"/>
  <c r="L57" i="1" s="1"/>
  <c r="G56" i="1"/>
  <c r="I56" i="1" s="1"/>
  <c r="L56" i="1" s="1"/>
  <c r="G55" i="1"/>
  <c r="I55" i="1" s="1"/>
  <c r="L55" i="1" s="1"/>
  <c r="G54" i="1"/>
  <c r="I54" i="1" s="1"/>
  <c r="L54" i="1" s="1"/>
  <c r="G53" i="1"/>
  <c r="I53" i="1" s="1"/>
  <c r="G52" i="1"/>
  <c r="I52" i="1" s="1"/>
  <c r="L52" i="1" s="1"/>
  <c r="G51" i="1"/>
  <c r="I51" i="1" s="1"/>
  <c r="G50" i="1"/>
  <c r="I50" i="1" s="1"/>
  <c r="G49" i="1"/>
  <c r="I49" i="1" s="1"/>
  <c r="L49" i="1" s="1"/>
  <c r="G48" i="1"/>
  <c r="I48" i="1" s="1"/>
  <c r="L48" i="1" s="1"/>
  <c r="G47" i="1"/>
  <c r="I47" i="1" s="1"/>
  <c r="G46" i="1"/>
  <c r="I46" i="1" s="1"/>
  <c r="G45" i="1"/>
  <c r="I45" i="1" s="1"/>
  <c r="L45" i="1" s="1"/>
  <c r="G44" i="1"/>
  <c r="I44" i="1" s="1"/>
  <c r="L44" i="1" s="1"/>
  <c r="G43" i="1"/>
  <c r="I43" i="1" s="1"/>
  <c r="L43" i="1" s="1"/>
  <c r="G42" i="1"/>
  <c r="I42" i="1" s="1"/>
  <c r="G41" i="1"/>
  <c r="I41" i="1" s="1"/>
  <c r="L41" i="1" s="1"/>
  <c r="G40" i="1"/>
  <c r="I40" i="1" s="1"/>
  <c r="L40" i="1" s="1"/>
  <c r="G39" i="1"/>
  <c r="I39" i="1" s="1"/>
  <c r="L39" i="1" s="1"/>
  <c r="G38" i="1"/>
  <c r="I38" i="1" s="1"/>
  <c r="L38" i="1" s="1"/>
  <c r="G37" i="1"/>
  <c r="I37" i="1" s="1"/>
  <c r="G36" i="1"/>
  <c r="I36" i="1" s="1"/>
  <c r="G35" i="1"/>
  <c r="I35" i="1" s="1"/>
  <c r="G34" i="1"/>
  <c r="I34" i="1" s="1"/>
  <c r="L34" i="1" s="1"/>
  <c r="G33" i="1"/>
  <c r="I33" i="1" s="1"/>
  <c r="G32" i="1"/>
  <c r="I32" i="1" s="1"/>
  <c r="L32" i="1" s="1"/>
  <c r="G31" i="1"/>
  <c r="I31" i="1" s="1"/>
  <c r="L31" i="1" s="1"/>
  <c r="G30" i="1"/>
  <c r="I30" i="1" s="1"/>
  <c r="L30" i="1" s="1"/>
  <c r="G29" i="1"/>
  <c r="I29" i="1" s="1"/>
  <c r="L29" i="1" s="1"/>
  <c r="G28" i="1"/>
  <c r="I28" i="1" s="1"/>
  <c r="L28" i="1" s="1"/>
  <c r="G27" i="1"/>
  <c r="I27" i="1" s="1"/>
  <c r="L27" i="1" s="1"/>
  <c r="G26" i="1"/>
  <c r="I26" i="1" s="1"/>
  <c r="L26" i="1" s="1"/>
  <c r="G25" i="1"/>
  <c r="I25" i="1" s="1"/>
  <c r="L25" i="1" s="1"/>
  <c r="G24" i="1"/>
  <c r="I24" i="1" s="1"/>
  <c r="L24" i="1" s="1"/>
  <c r="G23" i="1"/>
  <c r="I23" i="1" s="1"/>
  <c r="L23" i="1" s="1"/>
  <c r="G22" i="1"/>
  <c r="I22" i="1" s="1"/>
  <c r="L22" i="1" s="1"/>
  <c r="G21" i="1"/>
  <c r="I21" i="1" s="1"/>
  <c r="L21" i="1" s="1"/>
  <c r="G20" i="1"/>
  <c r="I20" i="1" s="1"/>
  <c r="L20" i="1" s="1"/>
  <c r="G19" i="1"/>
  <c r="I19" i="1" s="1"/>
  <c r="L19" i="1" s="1"/>
  <c r="C35" i="1" l="1"/>
  <c r="C60" i="1"/>
  <c r="C48" i="1"/>
  <c r="C71" i="1"/>
  <c r="C77" i="1"/>
  <c r="C85" i="1"/>
  <c r="C25" i="1"/>
  <c r="Z2" i="1" s="1"/>
  <c r="O47" i="12"/>
  <c r="J61" i="1" s="1"/>
  <c r="L61" i="1" s="1"/>
  <c r="J46" i="1"/>
  <c r="L46" i="1" s="1"/>
  <c r="J53" i="1"/>
  <c r="L53" i="1" s="1"/>
  <c r="H49" i="1"/>
  <c r="F8" i="1"/>
  <c r="F7" i="1"/>
  <c r="F6" i="1"/>
  <c r="Z8" i="1" l="1"/>
  <c r="AA8" i="1" s="1"/>
  <c r="Z7" i="1"/>
  <c r="AA7" i="1" s="1"/>
  <c r="Z6" i="1"/>
  <c r="AA6" i="1" s="1"/>
  <c r="Z5" i="1"/>
  <c r="AA5" i="1" s="1"/>
  <c r="Z4" i="1"/>
  <c r="AA4" i="1" s="1"/>
  <c r="Z3" i="1"/>
  <c r="AA2" i="1"/>
  <c r="O23" i="12"/>
  <c r="J37" i="1" s="1"/>
  <c r="L37" i="1" s="1"/>
  <c r="O22" i="12"/>
  <c r="J36" i="1" s="1"/>
  <c r="L36" i="1" s="1"/>
  <c r="O33" i="12"/>
  <c r="J47" i="1" s="1"/>
  <c r="L47" i="1" s="1"/>
  <c r="O48" i="12"/>
  <c r="J62" i="1" s="1"/>
  <c r="L62" i="1" s="1"/>
  <c r="O36" i="12"/>
  <c r="J50" i="1" s="1"/>
  <c r="L50" i="1" s="1"/>
  <c r="O46" i="12"/>
  <c r="J60" i="1" s="1"/>
  <c r="L60" i="1" s="1"/>
  <c r="J59" i="1"/>
  <c r="L59" i="1" s="1"/>
  <c r="J51" i="1"/>
  <c r="L51" i="1" s="1"/>
  <c r="J42" i="1"/>
  <c r="L42" i="1" s="1"/>
  <c r="J58" i="1"/>
  <c r="L58" i="1" s="1"/>
  <c r="J33" i="1"/>
  <c r="L33" i="1" s="1"/>
  <c r="G8" i="1"/>
  <c r="G7" i="1"/>
  <c r="G6" i="1"/>
  <c r="Z9" i="1" l="1"/>
  <c r="AA9" i="1" s="1"/>
  <c r="AA3" i="1"/>
  <c r="J35" i="1"/>
  <c r="L35" i="1" s="1"/>
  <c r="G9" i="1"/>
  <c r="I6" i="1"/>
  <c r="H6" i="1" l="1"/>
  <c r="H8" i="1" l="1"/>
  <c r="I8" i="1" s="1"/>
  <c r="H7" i="1" l="1"/>
  <c r="I7" i="1" l="1"/>
  <c r="H9" i="1"/>
  <c r="I9" i="1" l="1"/>
  <c r="D9" i="1" s="1"/>
  <c r="M19" i="1" l="1"/>
  <c r="M39" i="1"/>
  <c r="M67" i="1"/>
  <c r="M83" i="1"/>
  <c r="M44" i="1"/>
  <c r="M64" i="1"/>
  <c r="M80" i="1"/>
  <c r="M21" i="1"/>
  <c r="M45" i="1"/>
  <c r="M69" i="1"/>
  <c r="M85" i="1"/>
  <c r="M26" i="1"/>
  <c r="M54" i="1"/>
  <c r="M78" i="1"/>
  <c r="M23" i="1"/>
  <c r="M43" i="1"/>
  <c r="M71" i="1"/>
  <c r="M87" i="1"/>
  <c r="M48" i="1"/>
  <c r="M68" i="1"/>
  <c r="M84" i="1"/>
  <c r="M25" i="1"/>
  <c r="M49" i="1"/>
  <c r="M73" i="1"/>
  <c r="M20" i="1"/>
  <c r="M30" i="1"/>
  <c r="M66" i="1"/>
  <c r="M82" i="1"/>
  <c r="M27" i="1"/>
  <c r="M55" i="1"/>
  <c r="M75" i="1"/>
  <c r="M24" i="1"/>
  <c r="M52" i="1"/>
  <c r="M72" i="1"/>
  <c r="M88" i="1"/>
  <c r="M29" i="1"/>
  <c r="M57" i="1"/>
  <c r="M77" i="1"/>
  <c r="M32" i="1"/>
  <c r="M34" i="1"/>
  <c r="M70" i="1"/>
  <c r="M86" i="1"/>
  <c r="M31" i="1"/>
  <c r="M63" i="1"/>
  <c r="M79" i="1"/>
  <c r="M40" i="1"/>
  <c r="M56" i="1"/>
  <c r="M76" i="1"/>
  <c r="M28" i="1"/>
  <c r="M41" i="1"/>
  <c r="M65" i="1"/>
  <c r="M81" i="1"/>
  <c r="M22" i="1"/>
  <c r="M38" i="1"/>
  <c r="M74" i="1"/>
  <c r="M61" i="1"/>
  <c r="M46" i="1"/>
  <c r="M53" i="1"/>
  <c r="M58" i="1"/>
  <c r="M37" i="1"/>
  <c r="M33" i="1"/>
  <c r="M60" i="1"/>
  <c r="M42" i="1"/>
  <c r="M59" i="1"/>
  <c r="M36" i="1"/>
  <c r="M51" i="1"/>
  <c r="M47" i="1"/>
  <c r="M50" i="1"/>
  <c r="M62" i="1"/>
  <c r="M35" i="1"/>
  <c r="F9" i="1"/>
  <c r="E14" i="6"/>
  <c r="Y10" i="16"/>
  <c r="N25" i="17" s="1"/>
  <c r="N26" i="17" s="1"/>
  <c r="N28" i="17" s="1"/>
  <c r="N29" i="17" s="1"/>
  <c r="N31" i="17" l="1"/>
  <c r="N30" i="17"/>
  <c r="F12" i="1"/>
  <c r="I40" i="17"/>
  <c r="B38" i="17"/>
  <c r="C17" i="16" s="1"/>
  <c r="H29" i="1"/>
  <c r="H38" i="1"/>
  <c r="H37" i="1"/>
  <c r="H36" i="1"/>
  <c r="H35" i="1"/>
  <c r="H34" i="1"/>
  <c r="H33" i="1"/>
  <c r="H32" i="1"/>
  <c r="H31" i="1"/>
  <c r="H30" i="1"/>
  <c r="AO85" i="5"/>
  <c r="C44" i="17" l="1"/>
  <c r="N78" i="1" l="1"/>
  <c r="AR85" i="5" s="1"/>
  <c r="R64" i="12"/>
  <c r="AO83" i="5"/>
  <c r="R62" i="12"/>
  <c r="C45" i="17"/>
  <c r="R44" i="12"/>
  <c r="R49" i="12"/>
  <c r="R47" i="12"/>
  <c r="R46" i="12"/>
  <c r="R45" i="12"/>
  <c r="R40" i="12"/>
  <c r="N76" i="1" l="1"/>
  <c r="D16" i="1" s="1"/>
  <c r="AL85" i="5"/>
  <c r="AL83" i="5"/>
  <c r="AO62" i="5"/>
  <c r="R41" i="12"/>
  <c r="AL91" i="5"/>
  <c r="R70" i="12"/>
  <c r="AL63" i="5"/>
  <c r="R42" i="12"/>
  <c r="AO69" i="5"/>
  <c r="R48" i="12"/>
  <c r="AL64" i="5"/>
  <c r="R43" i="12"/>
  <c r="C47" i="17"/>
  <c r="C46" i="17" s="1"/>
  <c r="F13" i="16" s="1"/>
  <c r="C15" i="16" s="1"/>
  <c r="AO67" i="5"/>
  <c r="R50" i="12"/>
  <c r="R65" i="12"/>
  <c r="R25" i="12"/>
  <c r="B48" i="17" l="1"/>
  <c r="AR83" i="5"/>
  <c r="C78" i="1"/>
  <c r="AO91" i="5"/>
  <c r="AL62" i="5"/>
  <c r="AO64" i="5"/>
  <c r="AO63" i="5"/>
  <c r="AO92" i="5"/>
  <c r="R71" i="12"/>
  <c r="AL93" i="5"/>
  <c r="R72" i="12"/>
  <c r="AO79" i="5"/>
  <c r="R58" i="12"/>
  <c r="R74" i="12"/>
  <c r="AL52" i="5"/>
  <c r="R31" i="12"/>
  <c r="AO59" i="5"/>
  <c r="R38" i="12"/>
  <c r="AL50" i="5"/>
  <c r="R29" i="12"/>
  <c r="AO60" i="5"/>
  <c r="R39" i="12"/>
  <c r="AL80" i="5"/>
  <c r="R59" i="12"/>
  <c r="AL94" i="5"/>
  <c r="R73" i="12"/>
  <c r="AL88" i="5"/>
  <c r="R67" i="12"/>
  <c r="AO77" i="5"/>
  <c r="R56" i="12"/>
  <c r="AL75" i="5"/>
  <c r="R54" i="12"/>
  <c r="AL51" i="5"/>
  <c r="R30" i="12"/>
  <c r="AL47" i="5"/>
  <c r="R26" i="12"/>
  <c r="AO57" i="5"/>
  <c r="R36" i="12"/>
  <c r="AO48" i="5"/>
  <c r="R27" i="12"/>
  <c r="AL55" i="5"/>
  <c r="R34" i="12"/>
  <c r="AL58" i="5"/>
  <c r="R37" i="12"/>
  <c r="AL54" i="5"/>
  <c r="R33" i="12"/>
  <c r="AL89" i="5"/>
  <c r="R68" i="12"/>
  <c r="AL90" i="5"/>
  <c r="R69" i="12"/>
  <c r="AL78" i="5"/>
  <c r="R57" i="12"/>
  <c r="AL69" i="5"/>
  <c r="AO56" i="5"/>
  <c r="R35" i="12"/>
  <c r="AL49" i="5"/>
  <c r="R28" i="12"/>
  <c r="AO87" i="5"/>
  <c r="R66" i="12"/>
  <c r="AL74" i="5"/>
  <c r="R53" i="12"/>
  <c r="AL76" i="5"/>
  <c r="R55" i="12"/>
  <c r="Z15" i="16"/>
  <c r="Q57" i="1"/>
  <c r="Q55" i="1"/>
  <c r="Q56" i="1"/>
  <c r="Q62" i="1"/>
  <c r="AO70" i="5"/>
  <c r="Q63" i="1"/>
  <c r="AL65" i="5"/>
  <c r="Q58" i="1"/>
  <c r="AL67" i="5"/>
  <c r="Q60" i="1"/>
  <c r="AO68" i="5"/>
  <c r="Q61" i="1"/>
  <c r="AL66" i="5"/>
  <c r="Q59" i="1"/>
  <c r="Q54" i="1"/>
  <c r="AL61" i="5"/>
  <c r="AL70" i="5"/>
  <c r="AO61" i="5"/>
  <c r="AO66" i="5"/>
  <c r="C58" i="1"/>
  <c r="AL68" i="5"/>
  <c r="AO65" i="5"/>
  <c r="G16" i="1"/>
  <c r="AO74" i="5"/>
  <c r="AO72" i="5"/>
  <c r="AL72" i="5"/>
  <c r="AO93" i="5"/>
  <c r="AO95" i="5"/>
  <c r="AL95" i="5"/>
  <c r="AO49" i="5"/>
  <c r="AO73" i="5"/>
  <c r="AL73" i="5"/>
  <c r="R14" i="12"/>
  <c r="R11" i="12"/>
  <c r="R12" i="12"/>
  <c r="R60" i="12"/>
  <c r="R61" i="1" l="1"/>
  <c r="R59" i="1"/>
  <c r="R58" i="1"/>
  <c r="R62" i="1"/>
  <c r="R54" i="1"/>
  <c r="R56" i="1"/>
  <c r="R60" i="1"/>
  <c r="R55" i="1"/>
  <c r="R63" i="1"/>
  <c r="R57" i="1"/>
  <c r="AL56" i="5"/>
  <c r="AL87" i="5"/>
  <c r="R8" i="12"/>
  <c r="R7" i="12"/>
  <c r="R6" i="12"/>
  <c r="R10" i="12"/>
  <c r="R5" i="12"/>
  <c r="R9" i="12"/>
  <c r="R13" i="12"/>
  <c r="AL59" i="5"/>
  <c r="AL77" i="5"/>
  <c r="AO51" i="5"/>
  <c r="AO76" i="5"/>
  <c r="AO94" i="5"/>
  <c r="AL60" i="5"/>
  <c r="AO52" i="5"/>
  <c r="AL79" i="5"/>
  <c r="AO88" i="5"/>
  <c r="AL92" i="5"/>
  <c r="AO75" i="5"/>
  <c r="AO80" i="5"/>
  <c r="AO50" i="5"/>
  <c r="AO90" i="5"/>
  <c r="AO47" i="5"/>
  <c r="AO89" i="5"/>
  <c r="AO54" i="5"/>
  <c r="AO55" i="5"/>
  <c r="AO78" i="5"/>
  <c r="AO58" i="5"/>
  <c r="AL48" i="5"/>
  <c r="AL57" i="5"/>
  <c r="R24" i="12"/>
  <c r="AL37" i="5"/>
  <c r="R16" i="12"/>
  <c r="R23" i="12"/>
  <c r="AL36" i="5"/>
  <c r="R15" i="12"/>
  <c r="R32" i="12"/>
  <c r="Q70" i="1"/>
  <c r="AL84" i="5"/>
  <c r="R63" i="12"/>
  <c r="AL43" i="5"/>
  <c r="R22" i="12"/>
  <c r="Q34" i="1"/>
  <c r="R20" i="12"/>
  <c r="AO38" i="5"/>
  <c r="R17" i="12"/>
  <c r="Q83" i="1"/>
  <c r="R21" i="12"/>
  <c r="Q32" i="1"/>
  <c r="R18" i="12"/>
  <c r="R61" i="12"/>
  <c r="AL40" i="5"/>
  <c r="R19" i="12"/>
  <c r="L37" i="6"/>
  <c r="X5" i="1"/>
  <c r="Q46" i="1"/>
  <c r="Q52" i="1"/>
  <c r="Q51" i="1"/>
  <c r="Q38" i="1"/>
  <c r="Q48" i="1"/>
  <c r="Q79" i="1"/>
  <c r="Q84" i="1"/>
  <c r="Q53" i="1"/>
  <c r="Q35" i="1"/>
  <c r="Q82" i="1"/>
  <c r="Q81" i="1"/>
  <c r="Q87" i="1"/>
  <c r="Q88" i="1"/>
  <c r="Q50" i="1"/>
  <c r="Q44" i="1"/>
  <c r="Q47" i="1"/>
  <c r="Q45" i="1"/>
  <c r="AO32" i="5"/>
  <c r="Q69" i="1"/>
  <c r="Q68" i="1"/>
  <c r="Q64" i="1"/>
  <c r="Q66" i="1"/>
  <c r="Q65" i="1"/>
  <c r="Q73" i="1"/>
  <c r="Q72" i="1"/>
  <c r="Q71" i="1"/>
  <c r="Q67" i="1"/>
  <c r="AO86" i="5"/>
  <c r="Q86" i="1"/>
  <c r="Q85" i="1"/>
  <c r="Q80" i="1"/>
  <c r="AL86" i="5"/>
  <c r="AL71" i="5"/>
  <c r="Q41" i="1"/>
  <c r="Q40" i="1"/>
  <c r="Q42" i="1"/>
  <c r="Q49" i="1"/>
  <c r="Q43" i="1"/>
  <c r="Q39" i="1"/>
  <c r="AL46" i="5"/>
  <c r="AO71" i="5"/>
  <c r="Q37" i="1"/>
  <c r="C83" i="1"/>
  <c r="C69" i="1"/>
  <c r="C59" i="1"/>
  <c r="C61" i="1" s="1"/>
  <c r="L36" i="6" s="1"/>
  <c r="AL26" i="5"/>
  <c r="AO46" i="5"/>
  <c r="AO30" i="5"/>
  <c r="AL30" i="5"/>
  <c r="AO44" i="5"/>
  <c r="AL44" i="5"/>
  <c r="AO53" i="5"/>
  <c r="AL53" i="5"/>
  <c r="AO29" i="5"/>
  <c r="AL29" i="5"/>
  <c r="AO42" i="5"/>
  <c r="AL42" i="5"/>
  <c r="AO28" i="5"/>
  <c r="AL28" i="5"/>
  <c r="AO45" i="5"/>
  <c r="AL45" i="5"/>
  <c r="AO84" i="5"/>
  <c r="AO27" i="5"/>
  <c r="AL27" i="5"/>
  <c r="AO31" i="5"/>
  <c r="AL31" i="5"/>
  <c r="AO82" i="5"/>
  <c r="AL82" i="5"/>
  <c r="AO34" i="5"/>
  <c r="AL34" i="5"/>
  <c r="C46" i="1"/>
  <c r="R42" i="1" l="1"/>
  <c r="R73" i="1"/>
  <c r="R80" i="1"/>
  <c r="R68" i="1"/>
  <c r="R84" i="1"/>
  <c r="R85" i="1"/>
  <c r="R82" i="1"/>
  <c r="R81" i="1"/>
  <c r="R86" i="1"/>
  <c r="R88" i="1"/>
  <c r="R87" i="1"/>
  <c r="R83" i="1"/>
  <c r="R79" i="1"/>
  <c r="R67" i="1"/>
  <c r="R65" i="1"/>
  <c r="R69" i="1"/>
  <c r="R70" i="1"/>
  <c r="R71" i="1"/>
  <c r="R66" i="1"/>
  <c r="R72" i="1"/>
  <c r="R64" i="1"/>
  <c r="R40" i="1"/>
  <c r="R44" i="1"/>
  <c r="R43" i="1"/>
  <c r="R41" i="1"/>
  <c r="R50" i="1"/>
  <c r="R52" i="1"/>
  <c r="R39" i="1"/>
  <c r="R49" i="1"/>
  <c r="R45" i="1"/>
  <c r="R48" i="1"/>
  <c r="R46" i="1"/>
  <c r="R53" i="1"/>
  <c r="R47" i="1"/>
  <c r="R51" i="1"/>
  <c r="AO41" i="5"/>
  <c r="AO43" i="5"/>
  <c r="Q31" i="1"/>
  <c r="AO39" i="5"/>
  <c r="AO37" i="5"/>
  <c r="Q33" i="1"/>
  <c r="Q30" i="1"/>
  <c r="AO40" i="5"/>
  <c r="Q29" i="1"/>
  <c r="AL39" i="5"/>
  <c r="AL38" i="5"/>
  <c r="Q36" i="1"/>
  <c r="C33" i="1"/>
  <c r="L27" i="6" s="1"/>
  <c r="AL41" i="5"/>
  <c r="P4" i="1"/>
  <c r="C75" i="1"/>
  <c r="L47" i="6" s="1"/>
  <c r="Q76" i="1"/>
  <c r="F37" i="6"/>
  <c r="Y5" i="1"/>
  <c r="L52" i="6"/>
  <c r="X8" i="1"/>
  <c r="L42" i="6"/>
  <c r="X6" i="1"/>
  <c r="L32" i="6"/>
  <c r="X4" i="1"/>
  <c r="Q26" i="1"/>
  <c r="Q28" i="1"/>
  <c r="AO33" i="5"/>
  <c r="C23" i="1"/>
  <c r="Q23" i="1"/>
  <c r="AO35" i="5"/>
  <c r="Q24" i="1"/>
  <c r="Q27" i="1"/>
  <c r="Q22" i="1"/>
  <c r="AL32" i="5"/>
  <c r="AL33" i="5"/>
  <c r="Q20" i="1"/>
  <c r="Q21" i="1"/>
  <c r="Q25" i="1"/>
  <c r="Q19" i="1"/>
  <c r="AL35" i="5"/>
  <c r="C84" i="1"/>
  <c r="C86" i="1" s="1"/>
  <c r="L51" i="6" s="1"/>
  <c r="Q74" i="1"/>
  <c r="Q78" i="1"/>
  <c r="Q75" i="1"/>
  <c r="Q77" i="1"/>
  <c r="AL81" i="5"/>
  <c r="C70" i="1"/>
  <c r="C72" i="1" s="1"/>
  <c r="L41" i="6" s="1"/>
  <c r="C47" i="1"/>
  <c r="C49" i="1" s="1"/>
  <c r="L31" i="6" s="1"/>
  <c r="AO36" i="5"/>
  <c r="AO26" i="5"/>
  <c r="R77" i="1" l="1"/>
  <c r="R75" i="1"/>
  <c r="R78" i="1"/>
  <c r="R76" i="1"/>
  <c r="R74" i="1"/>
  <c r="R19" i="1"/>
  <c r="R36" i="1"/>
  <c r="R34" i="1"/>
  <c r="R37" i="1"/>
  <c r="R38" i="1"/>
  <c r="R24" i="1"/>
  <c r="R32" i="1"/>
  <c r="R30" i="1"/>
  <c r="R31" i="1"/>
  <c r="R33" i="1"/>
  <c r="R35" i="1"/>
  <c r="R29" i="1"/>
  <c r="R25" i="1"/>
  <c r="R28" i="1"/>
  <c r="R21" i="1"/>
  <c r="R22" i="1"/>
  <c r="R23" i="1"/>
  <c r="R26" i="1"/>
  <c r="R20" i="1"/>
  <c r="R27" i="1"/>
  <c r="X3" i="1"/>
  <c r="C34" i="1"/>
  <c r="C36" i="1" s="1"/>
  <c r="L26" i="6" s="1"/>
  <c r="P7" i="1"/>
  <c r="P5" i="1"/>
  <c r="P3" i="1"/>
  <c r="X7" i="1"/>
  <c r="F32" i="6"/>
  <c r="Y4" i="1"/>
  <c r="F52" i="6"/>
  <c r="Y8" i="1"/>
  <c r="F42" i="6"/>
  <c r="Y6" i="1"/>
  <c r="L22" i="6"/>
  <c r="X2" i="1"/>
  <c r="D12" i="1"/>
  <c r="C24" i="1"/>
  <c r="C26" i="1" s="1"/>
  <c r="L21" i="6" s="1"/>
  <c r="C76" i="1"/>
  <c r="B78" i="1" s="1"/>
  <c r="L46" i="6" s="1"/>
  <c r="AO81" i="5"/>
  <c r="Y3" i="1" l="1"/>
  <c r="F27" i="6"/>
  <c r="P2" i="1"/>
  <c r="X9" i="1"/>
  <c r="I14" i="6"/>
  <c r="N14" i="6" s="1"/>
  <c r="G12" i="1"/>
  <c r="D14" i="1" s="1"/>
  <c r="P6" i="1"/>
  <c r="P1" i="1"/>
  <c r="F47" i="6"/>
  <c r="Y7" i="1"/>
  <c r="F22" i="6"/>
  <c r="Y2" i="1"/>
  <c r="D13" i="1"/>
  <c r="G13" i="1" s="1"/>
  <c r="T17" i="6" l="1"/>
  <c r="AB2" i="6" s="1"/>
  <c r="Y9" i="1"/>
  <c r="T14" i="6"/>
</calcChain>
</file>

<file path=xl/comments1.xml><?xml version="1.0" encoding="utf-8"?>
<comments xmlns="http://schemas.openxmlformats.org/spreadsheetml/2006/main">
  <authors>
    <author>宮崎 雅郎</author>
  </authors>
  <commentList>
    <comment ref="U18" authorId="0">
      <text>
        <r>
          <rPr>
            <b/>
            <sz val="9"/>
            <color indexed="81"/>
            <rFont val="MS P ゴシック"/>
            <family val="3"/>
            <charset val="128"/>
          </rPr>
          <t>宮崎 雅郎:</t>
        </r>
        <r>
          <rPr>
            <sz val="9"/>
            <color indexed="81"/>
            <rFont val="MS P ゴシック"/>
            <family val="3"/>
            <charset val="128"/>
          </rPr>
          <t xml:space="preserve">
B列の情報（番号）を転記</t>
        </r>
      </text>
    </comment>
  </commentList>
</comments>
</file>

<file path=xl/comments2.xml><?xml version="1.0" encoding="utf-8"?>
<comments xmlns="http://schemas.openxmlformats.org/spreadsheetml/2006/main">
  <authors>
    <author>宮崎 雅郎</author>
    <author>作成者</author>
  </authors>
  <commentList>
    <comment ref="L25" authorId="0">
      <text>
        <r>
          <rPr>
            <b/>
            <sz val="9"/>
            <color indexed="81"/>
            <rFont val="MS P ゴシック"/>
            <family val="3"/>
            <charset val="128"/>
          </rPr>
          <t>宮崎 雅郎:
割り振りをやめる。</t>
        </r>
      </text>
    </comment>
    <comment ref="L51"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2"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3"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5"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List>
</comments>
</file>

<file path=xl/sharedStrings.xml><?xml version="1.0" encoding="utf-8"?>
<sst xmlns="http://schemas.openxmlformats.org/spreadsheetml/2006/main" count="1475" uniqueCount="738">
  <si>
    <t>種別</t>
  </si>
  <si>
    <t>№</t>
  </si>
  <si>
    <t>対策項目</t>
  </si>
  <si>
    <t>一般管理</t>
  </si>
  <si>
    <t>10項目</t>
  </si>
  <si>
    <t>省エネルギー対策推進体制の整備</t>
  </si>
  <si>
    <t>省エネルギー削減目標の設定</t>
  </si>
  <si>
    <t>エネルギー使用量の見える化</t>
  </si>
  <si>
    <t>燃焼設備の空気比改善</t>
  </si>
  <si>
    <t>熱源機の運転時間の適正化</t>
  </si>
  <si>
    <t>冷水、温水出口温度の適正化</t>
  </si>
  <si>
    <t>冷却水温度の適正化</t>
  </si>
  <si>
    <t>室内温度の適正化</t>
  </si>
  <si>
    <t>非使用室、時間の空調停止</t>
  </si>
  <si>
    <t>温度分布の適正化</t>
  </si>
  <si>
    <t>出入口からの外気侵入防止</t>
  </si>
  <si>
    <t>換気</t>
  </si>
  <si>
    <t>全熱交換器の適正な運用</t>
  </si>
  <si>
    <t>屋内駐車場の換気量の抑制</t>
  </si>
  <si>
    <t>倉庫等の換気量の制限</t>
  </si>
  <si>
    <t>照明</t>
  </si>
  <si>
    <t>照度の適正化</t>
  </si>
  <si>
    <t>採光を利用した消灯の実施</t>
  </si>
  <si>
    <t>年1～2回清掃</t>
  </si>
  <si>
    <t>節水コマの採用</t>
  </si>
  <si>
    <t>その他</t>
  </si>
  <si>
    <t>自動販売機の節電</t>
  </si>
  <si>
    <t>サーバー室、エリアの空調温度の適正化</t>
  </si>
  <si>
    <t>事務用機器の集約による台数削減</t>
  </si>
  <si>
    <t>事業所用途</t>
    <rPh sb="0" eb="3">
      <t>ジギョウショ</t>
    </rPh>
    <rPh sb="3" eb="5">
      <t>ヨウト</t>
    </rPh>
    <phoneticPr fontId="4"/>
  </si>
  <si>
    <t>エネルギー使用量</t>
    <rPh sb="5" eb="8">
      <t>シヨウリョウ</t>
    </rPh>
    <phoneticPr fontId="4"/>
  </si>
  <si>
    <t>対策の概要</t>
    <rPh sb="0" eb="2">
      <t>タイサク</t>
    </rPh>
    <rPh sb="3" eb="5">
      <t>ガイヨウ</t>
    </rPh>
    <phoneticPr fontId="4"/>
  </si>
  <si>
    <t>実施状況</t>
    <rPh sb="0" eb="2">
      <t>ジッシ</t>
    </rPh>
    <rPh sb="2" eb="4">
      <t>ジョウキョウ</t>
    </rPh>
    <phoneticPr fontId="4"/>
  </si>
  <si>
    <t>電気</t>
    <rPh sb="0" eb="2">
      <t>デンキ</t>
    </rPh>
    <phoneticPr fontId="4"/>
  </si>
  <si>
    <t>都市ガス</t>
    <rPh sb="0" eb="2">
      <t>トシ</t>
    </rPh>
    <phoneticPr fontId="4"/>
  </si>
  <si>
    <t>CO2排出量</t>
    <rPh sb="3" eb="5">
      <t>ハイシュツ</t>
    </rPh>
    <rPh sb="5" eb="6">
      <t>リョウ</t>
    </rPh>
    <phoneticPr fontId="4"/>
  </si>
  <si>
    <t>空調の方式</t>
    <rPh sb="0" eb="2">
      <t>クウチョウ</t>
    </rPh>
    <rPh sb="3" eb="5">
      <t>ホウシキ</t>
    </rPh>
    <phoneticPr fontId="4"/>
  </si>
  <si>
    <t>エネルギーシェア</t>
    <phoneticPr fontId="4"/>
  </si>
  <si>
    <t>CO2削減量</t>
    <rPh sb="3" eb="5">
      <t>サクゲン</t>
    </rPh>
    <rPh sb="5" eb="6">
      <t>リョウ</t>
    </rPh>
    <phoneticPr fontId="4"/>
  </si>
  <si>
    <t>水削減量</t>
    <rPh sb="0" eb="1">
      <t>ミズ</t>
    </rPh>
    <rPh sb="1" eb="3">
      <t>サクゲン</t>
    </rPh>
    <rPh sb="3" eb="4">
      <t>リョウ</t>
    </rPh>
    <phoneticPr fontId="4"/>
  </si>
  <si>
    <t>コスト</t>
    <phoneticPr fontId="4"/>
  </si>
  <si>
    <t>CO2削減率</t>
    <rPh sb="3" eb="5">
      <t>サクゲン</t>
    </rPh>
    <rPh sb="5" eb="6">
      <t>リツ</t>
    </rPh>
    <phoneticPr fontId="4"/>
  </si>
  <si>
    <t>設備名</t>
    <rPh sb="0" eb="2">
      <t>セツビ</t>
    </rPh>
    <rPh sb="2" eb="3">
      <t>メイ</t>
    </rPh>
    <phoneticPr fontId="4"/>
  </si>
  <si>
    <t>事務所</t>
    <rPh sb="0" eb="2">
      <t>ジム</t>
    </rPh>
    <rPh sb="2" eb="3">
      <t>ショ</t>
    </rPh>
    <phoneticPr fontId="4"/>
  </si>
  <si>
    <t>病院</t>
    <rPh sb="0" eb="2">
      <t>ビョウイン</t>
    </rPh>
    <phoneticPr fontId="4"/>
  </si>
  <si>
    <t>熱源</t>
    <rPh sb="0" eb="2">
      <t>ネツゲン</t>
    </rPh>
    <phoneticPr fontId="4"/>
  </si>
  <si>
    <t>熱源補器（冷却塔他）</t>
    <rPh sb="0" eb="2">
      <t>ネツゲン</t>
    </rPh>
    <rPh sb="2" eb="4">
      <t>ホキ</t>
    </rPh>
    <rPh sb="5" eb="8">
      <t>レイキャクトウ</t>
    </rPh>
    <rPh sb="8" eb="9">
      <t>ホカ</t>
    </rPh>
    <phoneticPr fontId="4"/>
  </si>
  <si>
    <t>空調ポンプ</t>
    <rPh sb="0" eb="2">
      <t>クウチョウ</t>
    </rPh>
    <phoneticPr fontId="4"/>
  </si>
  <si>
    <t>空調ファン</t>
    <rPh sb="0" eb="2">
      <t>クウチョウ</t>
    </rPh>
    <phoneticPr fontId="4"/>
  </si>
  <si>
    <t>給湯</t>
    <rPh sb="0" eb="2">
      <t>キュウトウ</t>
    </rPh>
    <phoneticPr fontId="4"/>
  </si>
  <si>
    <t>照明</t>
    <rPh sb="0" eb="2">
      <t>ショウメイ</t>
    </rPh>
    <phoneticPr fontId="4"/>
  </si>
  <si>
    <t>コンセント</t>
    <phoneticPr fontId="4"/>
  </si>
  <si>
    <t>換気</t>
    <rPh sb="0" eb="2">
      <t>カンキ</t>
    </rPh>
    <phoneticPr fontId="4"/>
  </si>
  <si>
    <t>昇降機</t>
    <rPh sb="0" eb="3">
      <t>ショウコウキ</t>
    </rPh>
    <phoneticPr fontId="4"/>
  </si>
  <si>
    <t>給排水</t>
    <rPh sb="0" eb="1">
      <t>キュウ</t>
    </rPh>
    <rPh sb="1" eb="3">
      <t>ハイスイ</t>
    </rPh>
    <phoneticPr fontId="4"/>
  </si>
  <si>
    <t>その他</t>
    <rPh sb="2" eb="3">
      <t>タ</t>
    </rPh>
    <phoneticPr fontId="4"/>
  </si>
  <si>
    <t>合計</t>
    <rPh sb="0" eb="2">
      <t>ゴウケイ</t>
    </rPh>
    <phoneticPr fontId="4"/>
  </si>
  <si>
    <t>削減率（対設備）</t>
    <rPh sb="0" eb="2">
      <t>サクゲン</t>
    </rPh>
    <rPh sb="2" eb="3">
      <t>リツ</t>
    </rPh>
    <rPh sb="4" eb="5">
      <t>タイ</t>
    </rPh>
    <rPh sb="5" eb="7">
      <t>セツビ</t>
    </rPh>
    <phoneticPr fontId="4"/>
  </si>
  <si>
    <t>削減率(対事業所　実施状況加味）</t>
    <rPh sb="0" eb="2">
      <t>サクゲン</t>
    </rPh>
    <rPh sb="2" eb="3">
      <t>リツ</t>
    </rPh>
    <rPh sb="4" eb="5">
      <t>タイ</t>
    </rPh>
    <rPh sb="5" eb="8">
      <t>ジギョウショ</t>
    </rPh>
    <rPh sb="9" eb="11">
      <t>ジッシ</t>
    </rPh>
    <rPh sb="11" eb="13">
      <t>ジョウキョウ</t>
    </rPh>
    <rPh sb="13" eb="15">
      <t>カミ</t>
    </rPh>
    <phoneticPr fontId="4"/>
  </si>
  <si>
    <t>実施率</t>
    <rPh sb="0" eb="2">
      <t>ジッシ</t>
    </rPh>
    <rPh sb="2" eb="3">
      <t>リツ</t>
    </rPh>
    <phoneticPr fontId="4"/>
  </si>
  <si>
    <t>未実施</t>
    <rPh sb="0" eb="3">
      <t>ミジッシ</t>
    </rPh>
    <phoneticPr fontId="4"/>
  </si>
  <si>
    <t>選択中</t>
    <rPh sb="0" eb="2">
      <t>センタク</t>
    </rPh>
    <rPh sb="2" eb="3">
      <t>チュウ</t>
    </rPh>
    <phoneticPr fontId="4"/>
  </si>
  <si>
    <t>なし</t>
  </si>
  <si>
    <t>なし</t>
    <phoneticPr fontId="4"/>
  </si>
  <si>
    <t>設備項目選択①（エネルギーシェア）</t>
    <rPh sb="0" eb="2">
      <t>セツビ</t>
    </rPh>
    <rPh sb="2" eb="4">
      <t>コウモク</t>
    </rPh>
    <rPh sb="4" eb="6">
      <t>センタク</t>
    </rPh>
    <phoneticPr fontId="4"/>
  </si>
  <si>
    <t>設備項目選択②（エネルギーシェア）</t>
    <rPh sb="0" eb="2">
      <t>セツビ</t>
    </rPh>
    <rPh sb="2" eb="4">
      <t>コウモク</t>
    </rPh>
    <rPh sb="4" eb="6">
      <t>センタク</t>
    </rPh>
    <phoneticPr fontId="4"/>
  </si>
  <si>
    <t>空調全般（合計）</t>
    <rPh sb="0" eb="2">
      <t>クウチョウ</t>
    </rPh>
    <rPh sb="2" eb="4">
      <t>ゼンパン</t>
    </rPh>
    <rPh sb="5" eb="7">
      <t>ゴウケイ</t>
    </rPh>
    <phoneticPr fontId="4"/>
  </si>
  <si>
    <t>照明・コンセント（合計）</t>
    <rPh sb="0" eb="2">
      <t>ショウメイ</t>
    </rPh>
    <rPh sb="9" eb="11">
      <t>ゴウケイ</t>
    </rPh>
    <phoneticPr fontId="4"/>
  </si>
  <si>
    <t>動力（合計）</t>
    <rPh sb="0" eb="2">
      <t>ドウリョク</t>
    </rPh>
    <rPh sb="3" eb="5">
      <t>ゴウケイ</t>
    </rPh>
    <phoneticPr fontId="4"/>
  </si>
  <si>
    <t>コンセント</t>
  </si>
  <si>
    <t>個別</t>
    <rPh sb="0" eb="2">
      <t>コベツ</t>
    </rPh>
    <phoneticPr fontId="4"/>
  </si>
  <si>
    <t>-</t>
    <phoneticPr fontId="4"/>
  </si>
  <si>
    <t>その他（合計）</t>
    <rPh sb="2" eb="3">
      <t>タ</t>
    </rPh>
    <rPh sb="4" eb="6">
      <t>ゴウケイ</t>
    </rPh>
    <phoneticPr fontId="4"/>
  </si>
  <si>
    <t>【燃料費一覧】</t>
    <rPh sb="1" eb="4">
      <t>ネンリョウヒ</t>
    </rPh>
    <rPh sb="4" eb="6">
      <t>イチラン</t>
    </rPh>
    <phoneticPr fontId="4"/>
  </si>
  <si>
    <t>使用する電気の排出係数</t>
    <rPh sb="0" eb="2">
      <t>シヨウ</t>
    </rPh>
    <rPh sb="4" eb="6">
      <t>デンキ</t>
    </rPh>
    <rPh sb="7" eb="9">
      <t>ハイシュツ</t>
    </rPh>
    <rPh sb="9" eb="11">
      <t>ケイスウ</t>
    </rPh>
    <phoneticPr fontId="4"/>
  </si>
  <si>
    <t>項目</t>
    <rPh sb="0" eb="2">
      <t>コウモク</t>
    </rPh>
    <phoneticPr fontId="4"/>
  </si>
  <si>
    <t>料金</t>
    <rPh sb="0" eb="2">
      <t>リョウキン</t>
    </rPh>
    <phoneticPr fontId="4"/>
  </si>
  <si>
    <t>参考</t>
    <rPh sb="0" eb="2">
      <t>サンコウ</t>
    </rPh>
    <phoneticPr fontId="4"/>
  </si>
  <si>
    <t>単価</t>
    <rPh sb="0" eb="2">
      <t>タンカ</t>
    </rPh>
    <phoneticPr fontId="4"/>
  </si>
  <si>
    <t>販売単位あたりのエネルギー量</t>
    <rPh sb="0" eb="2">
      <t>ハンバイ</t>
    </rPh>
    <rPh sb="2" eb="4">
      <t>タンイ</t>
    </rPh>
    <rPh sb="13" eb="14">
      <t>リョウ</t>
    </rPh>
    <phoneticPr fontId="4"/>
  </si>
  <si>
    <t>単価に関する備考</t>
    <rPh sb="0" eb="2">
      <t>タンカ</t>
    </rPh>
    <rPh sb="3" eb="4">
      <t>カン</t>
    </rPh>
    <rPh sb="6" eb="8">
      <t>ビコウ</t>
    </rPh>
    <phoneticPr fontId="4"/>
  </si>
  <si>
    <t>1GJあたりの単価
[\/GJ]</t>
    <rPh sb="7" eb="9">
      <t>タンカ</t>
    </rPh>
    <phoneticPr fontId="4"/>
  </si>
  <si>
    <t>参考の根拠</t>
    <rPh sb="0" eb="2">
      <t>サンコウ</t>
    </rPh>
    <rPh sb="3" eb="5">
      <t>コンキョ</t>
    </rPh>
    <phoneticPr fontId="4"/>
  </si>
  <si>
    <t>1GJあたりの排出量
[kg-CO2/GJ]</t>
    <rPh sb="7" eb="9">
      <t>ハイシュツ</t>
    </rPh>
    <rPh sb="9" eb="10">
      <t>リョウ</t>
    </rPh>
    <phoneticPr fontId="4"/>
  </si>
  <si>
    <t>二酸化炭素 1kg あたりの単価
（小さいほど二酸化炭素が出やすい）</t>
    <rPh sb="0" eb="3">
      <t>ニサンカ</t>
    </rPh>
    <rPh sb="3" eb="5">
      <t>タンソ</t>
    </rPh>
    <rPh sb="14" eb="16">
      <t>タンカ</t>
    </rPh>
    <rPh sb="18" eb="19">
      <t>チイ</t>
    </rPh>
    <rPh sb="23" eb="26">
      <t>ニサンカ</t>
    </rPh>
    <rPh sb="26" eb="28">
      <t>タンソ</t>
    </rPh>
    <rPh sb="29" eb="30">
      <t>デ</t>
    </rPh>
    <phoneticPr fontId="4"/>
  </si>
  <si>
    <t>円/kWh</t>
    <rPh sb="0" eb="1">
      <t>エン</t>
    </rPh>
    <phoneticPr fontId="4"/>
  </si>
  <si>
    <t>MJ/kWh</t>
    <phoneticPr fontId="4"/>
  </si>
  <si>
    <t>1ｋｗｈは3.6MJ</t>
    <phoneticPr fontId="4"/>
  </si>
  <si>
    <t>円/m3</t>
    <rPh sb="0" eb="1">
      <t>エン</t>
    </rPh>
    <phoneticPr fontId="4"/>
  </si>
  <si>
    <t>MJ/m3</t>
    <phoneticPr fontId="4"/>
  </si>
  <si>
    <t>13Aの場合45MJ/m3
※東京ガスHPより。</t>
    <rPh sb="4" eb="6">
      <t>バアイ</t>
    </rPh>
    <rPh sb="15" eb="17">
      <t>トウキョウ</t>
    </rPh>
    <phoneticPr fontId="4"/>
  </si>
  <si>
    <t>重油(A)</t>
    <rPh sb="0" eb="2">
      <t>ジュウユ</t>
    </rPh>
    <phoneticPr fontId="4"/>
  </si>
  <si>
    <t>円/L</t>
    <rPh sb="0" eb="1">
      <t>エン</t>
    </rPh>
    <phoneticPr fontId="4"/>
  </si>
  <si>
    <t>MJ/L</t>
    <phoneticPr fontId="4"/>
  </si>
  <si>
    <t>39.1GJ/ｋL
※東京都　特定温室効果ガス排出量算定ガイドラインより。</t>
    <rPh sb="11" eb="13">
      <t>トウキョウ</t>
    </rPh>
    <rPh sb="13" eb="14">
      <t>ト</t>
    </rPh>
    <rPh sb="15" eb="17">
      <t>トクテイ</t>
    </rPh>
    <rPh sb="17" eb="19">
      <t>オンシツ</t>
    </rPh>
    <rPh sb="19" eb="21">
      <t>コウカ</t>
    </rPh>
    <rPh sb="23" eb="25">
      <t>ハイシュツ</t>
    </rPh>
    <rPh sb="25" eb="26">
      <t>リョウ</t>
    </rPh>
    <rPh sb="26" eb="28">
      <t>サンテイ</t>
    </rPh>
    <phoneticPr fontId="4"/>
  </si>
  <si>
    <t>0.0189(t-c/GJ)
※東京都　特定温室効果ガス排出量算定ガイドラインより。</t>
    <phoneticPr fontId="4"/>
  </si>
  <si>
    <t>kWh</t>
    <phoneticPr fontId="4"/>
  </si>
  <si>
    <t>㎥</t>
    <phoneticPr fontId="4"/>
  </si>
  <si>
    <t>L</t>
    <phoneticPr fontId="4"/>
  </si>
  <si>
    <t>t-CO2</t>
    <phoneticPr fontId="4"/>
  </si>
  <si>
    <t>（単位）</t>
    <rPh sb="1" eb="3">
      <t>タンイ</t>
    </rPh>
    <phoneticPr fontId="4"/>
  </si>
  <si>
    <t>GJ換算</t>
    <rPh sb="2" eb="4">
      <t>カンサン</t>
    </rPh>
    <phoneticPr fontId="4"/>
  </si>
  <si>
    <t>東京都 第２計画期間</t>
    <rPh sb="0" eb="3">
      <t>トウキョウト</t>
    </rPh>
    <rPh sb="4" eb="5">
      <t>ダイ</t>
    </rPh>
    <rPh sb="6" eb="8">
      <t>ケイカク</t>
    </rPh>
    <rPh sb="8" eb="10">
      <t>キカン</t>
    </rPh>
    <phoneticPr fontId="4"/>
  </si>
  <si>
    <t>t-CO2/千kWh</t>
    <rPh sb="6" eb="7">
      <t>セン</t>
    </rPh>
    <phoneticPr fontId="4"/>
  </si>
  <si>
    <t>t-CO2換算</t>
    <rPh sb="5" eb="7">
      <t>カンサン</t>
    </rPh>
    <phoneticPr fontId="4"/>
  </si>
  <si>
    <t>㎥</t>
    <phoneticPr fontId="4"/>
  </si>
  <si>
    <t>単位当たり単価</t>
    <rPh sb="0" eb="2">
      <t>タンイ</t>
    </rPh>
    <rPh sb="2" eb="3">
      <t>ア</t>
    </rPh>
    <rPh sb="5" eb="7">
      <t>タンカ</t>
    </rPh>
    <phoneticPr fontId="4"/>
  </si>
  <si>
    <t>（円）</t>
    <rPh sb="1" eb="2">
      <t>エン</t>
    </rPh>
    <phoneticPr fontId="4"/>
  </si>
  <si>
    <t>%</t>
    <phoneticPr fontId="4"/>
  </si>
  <si>
    <t>-</t>
    <phoneticPr fontId="4"/>
  </si>
  <si>
    <t>事業所名称</t>
    <rPh sb="0" eb="3">
      <t>ジギョウショ</t>
    </rPh>
    <rPh sb="3" eb="5">
      <t>メイショウ</t>
    </rPh>
    <phoneticPr fontId="4"/>
  </si>
  <si>
    <t>事業所の用途</t>
    <rPh sb="0" eb="3">
      <t>ジギョウショ</t>
    </rPh>
    <rPh sb="4" eb="6">
      <t>ヨウト</t>
    </rPh>
    <phoneticPr fontId="4"/>
  </si>
  <si>
    <t>選択肢パターン</t>
    <rPh sb="0" eb="3">
      <t>センタクシ</t>
    </rPh>
    <phoneticPr fontId="4"/>
  </si>
  <si>
    <t>選択肢</t>
    <rPh sb="0" eb="3">
      <t>センタクシ</t>
    </rPh>
    <phoneticPr fontId="4"/>
  </si>
  <si>
    <t>実施率</t>
    <rPh sb="0" eb="2">
      <t>ジッシ</t>
    </rPh>
    <rPh sb="2" eb="3">
      <t>リツ</t>
    </rPh>
    <phoneticPr fontId="4"/>
  </si>
  <si>
    <t>■</t>
    <phoneticPr fontId="4"/>
  </si>
  <si>
    <t>■</t>
    <phoneticPr fontId="4"/>
  </si>
  <si>
    <t>事業所の情報</t>
  </si>
  <si>
    <t>電　気</t>
    <rPh sb="0" eb="1">
      <t>デン</t>
    </rPh>
    <rPh sb="2" eb="3">
      <t>キ</t>
    </rPh>
    <phoneticPr fontId="4"/>
  </si>
  <si>
    <t>省エネ対策の実施状況</t>
    <rPh sb="0" eb="1">
      <t>ショウ</t>
    </rPh>
    <rPh sb="3" eb="5">
      <t>タイサク</t>
    </rPh>
    <rPh sb="6" eb="8">
      <t>ジッシ</t>
    </rPh>
    <rPh sb="8" eb="10">
      <t>ジョウキョウ</t>
    </rPh>
    <phoneticPr fontId="4"/>
  </si>
  <si>
    <t>No.</t>
    <phoneticPr fontId="4"/>
  </si>
  <si>
    <t>一般管理　１０項目</t>
    <rPh sb="7" eb="9">
      <t>コウモク</t>
    </rPh>
    <phoneticPr fontId="4"/>
  </si>
  <si>
    <t>換　気　１０項目</t>
    <rPh sb="0" eb="1">
      <t>カン</t>
    </rPh>
    <rPh sb="2" eb="3">
      <t>キ</t>
    </rPh>
    <rPh sb="6" eb="8">
      <t>コウモク</t>
    </rPh>
    <phoneticPr fontId="4"/>
  </si>
  <si>
    <t>照　明　１０項目</t>
    <rPh sb="0" eb="1">
      <t>ショウ</t>
    </rPh>
    <rPh sb="2" eb="3">
      <t>メイ</t>
    </rPh>
    <rPh sb="6" eb="8">
      <t>コウモク</t>
    </rPh>
    <phoneticPr fontId="4"/>
  </si>
  <si>
    <t>円</t>
    <rPh sb="0" eb="1">
      <t>エン</t>
    </rPh>
    <phoneticPr fontId="4"/>
  </si>
  <si>
    <t>給排水・衛生・給湯　５項目</t>
    <rPh sb="11" eb="13">
      <t>コウモク</t>
    </rPh>
    <phoneticPr fontId="4"/>
  </si>
  <si>
    <t>■</t>
    <phoneticPr fontId="4"/>
  </si>
  <si>
    <t>事業所の用途：</t>
    <rPh sb="0" eb="3">
      <t>ジギョウショ</t>
    </rPh>
    <rPh sb="4" eb="6">
      <t>ヨウト</t>
    </rPh>
    <phoneticPr fontId="4"/>
  </si>
  <si>
    <t>事業所の名称：</t>
    <rPh sb="0" eb="3">
      <t>ジギョウショ</t>
    </rPh>
    <rPh sb="4" eb="6">
      <t>メイショウ</t>
    </rPh>
    <phoneticPr fontId="4"/>
  </si>
  <si>
    <t>■ 事業所概要</t>
    <rPh sb="2" eb="5">
      <t>ジギョウショ</t>
    </rPh>
    <rPh sb="5" eb="7">
      <t>ガイヨウ</t>
    </rPh>
    <phoneticPr fontId="4"/>
  </si>
  <si>
    <t>対策実施前</t>
    <rPh sb="0" eb="2">
      <t>タイサク</t>
    </rPh>
    <rPh sb="2" eb="4">
      <t>ジッシ</t>
    </rPh>
    <rPh sb="4" eb="5">
      <t>マエ</t>
    </rPh>
    <phoneticPr fontId="4"/>
  </si>
  <si>
    <t>－</t>
    <phoneticPr fontId="4"/>
  </si>
  <si>
    <t>=</t>
    <phoneticPr fontId="4"/>
  </si>
  <si>
    <t>【総　括】</t>
    <rPh sb="1" eb="2">
      <t>ソウ</t>
    </rPh>
    <rPh sb="3" eb="4">
      <t>カツ</t>
    </rPh>
    <phoneticPr fontId="4"/>
  </si>
  <si>
    <t>0.000489(t-CO2/kWh)
※東京都　特定温室効果ガス排出量算定ガイドラインより。</t>
    <rPh sb="21" eb="24">
      <t>トウキョウト</t>
    </rPh>
    <rPh sb="25" eb="27">
      <t>トクテイ</t>
    </rPh>
    <rPh sb="27" eb="29">
      <t>オンシツ</t>
    </rPh>
    <rPh sb="29" eb="31">
      <t>コウカ</t>
    </rPh>
    <rPh sb="33" eb="35">
      <t>ハイシュツ</t>
    </rPh>
    <rPh sb="35" eb="36">
      <t>リョウ</t>
    </rPh>
    <rPh sb="36" eb="38">
      <t>サンテイ</t>
    </rPh>
    <phoneticPr fontId="4"/>
  </si>
  <si>
    <t>空調方式選択時の設備項目</t>
    <rPh sb="0" eb="2">
      <t>クウチョウ</t>
    </rPh>
    <rPh sb="2" eb="4">
      <t>ホウシキ</t>
    </rPh>
    <rPh sb="4" eb="6">
      <t>センタク</t>
    </rPh>
    <rPh sb="6" eb="7">
      <t>ジ</t>
    </rPh>
    <rPh sb="8" eb="10">
      <t>セツビ</t>
    </rPh>
    <rPh sb="10" eb="12">
      <t>コウモク</t>
    </rPh>
    <phoneticPr fontId="4"/>
  </si>
  <si>
    <t>項目別削減率順位</t>
    <rPh sb="0" eb="2">
      <t>コウモク</t>
    </rPh>
    <rPh sb="2" eb="3">
      <t>ベツ</t>
    </rPh>
    <rPh sb="3" eb="5">
      <t>サクゲン</t>
    </rPh>
    <rPh sb="5" eb="6">
      <t>リツ</t>
    </rPh>
    <rPh sb="6" eb="8">
      <t>ジュンイ</t>
    </rPh>
    <phoneticPr fontId="4"/>
  </si>
  <si>
    <t>学校</t>
    <rPh sb="0" eb="2">
      <t>ガッコウ</t>
    </rPh>
    <phoneticPr fontId="4"/>
  </si>
  <si>
    <t>給湯</t>
  </si>
  <si>
    <t>熱源本体</t>
  </si>
  <si>
    <t>水搬送</t>
  </si>
  <si>
    <t>給排水</t>
  </si>
  <si>
    <t>昇降機</t>
  </si>
  <si>
    <t>物販</t>
    <rPh sb="0" eb="2">
      <t>ブッパン</t>
    </rPh>
    <phoneticPr fontId="4"/>
  </si>
  <si>
    <t>飲食</t>
    <rPh sb="0" eb="2">
      <t>インショク</t>
    </rPh>
    <phoneticPr fontId="4"/>
  </si>
  <si>
    <t>宿泊</t>
    <rPh sb="0" eb="2">
      <t>シュクハク</t>
    </rPh>
    <phoneticPr fontId="4"/>
  </si>
  <si>
    <t>教育</t>
    <rPh sb="0" eb="2">
      <t>キョウイク</t>
    </rPh>
    <phoneticPr fontId="4"/>
  </si>
  <si>
    <t>医療</t>
    <rPh sb="0" eb="2">
      <t>イリョウ</t>
    </rPh>
    <phoneticPr fontId="4"/>
  </si>
  <si>
    <t>情報通信</t>
    <rPh sb="0" eb="2">
      <t>ジョウホウ</t>
    </rPh>
    <rPh sb="2" eb="4">
      <t>ツウシン</t>
    </rPh>
    <phoneticPr fontId="4"/>
  </si>
  <si>
    <t>文化・娯楽</t>
    <rPh sb="0" eb="2">
      <t>ブンカ</t>
    </rPh>
    <rPh sb="3" eb="5">
      <t>ゴラク</t>
    </rPh>
    <phoneticPr fontId="4"/>
  </si>
  <si>
    <t>物流</t>
    <rPh sb="0" eb="2">
      <t>ブツリュウ</t>
    </rPh>
    <phoneticPr fontId="4"/>
  </si>
  <si>
    <t>研究</t>
    <rPh sb="0" eb="2">
      <t>ケンキュウ</t>
    </rPh>
    <phoneticPr fontId="4"/>
  </si>
  <si>
    <t>放送局</t>
    <rPh sb="0" eb="3">
      <t>ホウソウキョク</t>
    </rPh>
    <phoneticPr fontId="4"/>
  </si>
  <si>
    <t>水族館</t>
    <rPh sb="0" eb="3">
      <t>スイゾクカン</t>
    </rPh>
    <phoneticPr fontId="4"/>
  </si>
  <si>
    <t>駐車場</t>
    <rPh sb="0" eb="3">
      <t>チュウシャジョウ</t>
    </rPh>
    <phoneticPr fontId="4"/>
  </si>
  <si>
    <t>熱供給</t>
    <rPh sb="0" eb="1">
      <t>ネツ</t>
    </rPh>
    <rPh sb="1" eb="3">
      <t>キョウキュウ</t>
    </rPh>
    <phoneticPr fontId="4"/>
  </si>
  <si>
    <t>設備名/用途</t>
    <rPh sb="0" eb="2">
      <t>セツビ</t>
    </rPh>
    <rPh sb="2" eb="3">
      <t>メイ</t>
    </rPh>
    <rPh sb="4" eb="6">
      <t>ヨウト</t>
    </rPh>
    <phoneticPr fontId="4"/>
  </si>
  <si>
    <t>熱源補機</t>
  </si>
  <si>
    <t>全般</t>
  </si>
  <si>
    <t>空気搬送</t>
    <rPh sb="2" eb="4">
      <t>ハンソウ</t>
    </rPh>
    <phoneticPr fontId="4"/>
  </si>
  <si>
    <t>http://www.kankyo.metro.tokyo.jp/climate/large_scale/guideline_toplevel_kijun_kubun1_201704.pdf</t>
  </si>
  <si>
    <t>トップレベル事業所 認定基準（区分Ⅰ）より エネルギー消費先比率</t>
    <rPh sb="6" eb="9">
      <t>ジギョウショ</t>
    </rPh>
    <rPh sb="10" eb="12">
      <t>ニンテイ</t>
    </rPh>
    <rPh sb="12" eb="14">
      <t>キジュン</t>
    </rPh>
    <rPh sb="15" eb="17">
      <t>クブン</t>
    </rPh>
    <rPh sb="27" eb="32">
      <t>ショウヒサキヒリツ</t>
    </rPh>
    <phoneticPr fontId="4"/>
  </si>
  <si>
    <t>商業施設</t>
    <rPh sb="0" eb="2">
      <t>ショウギョウ</t>
    </rPh>
    <rPh sb="2" eb="4">
      <t>シセツ</t>
    </rPh>
    <phoneticPr fontId="4"/>
  </si>
  <si>
    <t>ホテル</t>
  </si>
  <si>
    <t>水搬送（ポンプ）</t>
    <phoneticPr fontId="4"/>
  </si>
  <si>
    <t>空気搬送（ファン）</t>
    <rPh sb="2" eb="4">
      <t>ハンソウ</t>
    </rPh>
    <phoneticPr fontId="4"/>
  </si>
  <si>
    <t>燃焼機器の空気比の管理</t>
  </si>
  <si>
    <t>熱源機器の冷温水出口温度設定値の調整</t>
  </si>
  <si>
    <t>冷凍機の冷却水温度設定値の調整</t>
  </si>
  <si>
    <t>冷温水管、蒸気管等の保温の確認</t>
  </si>
  <si>
    <t>蒸気配管・バルブ・スチームトラップからの漏れ点検</t>
  </si>
  <si>
    <t>1b.3</t>
  </si>
  <si>
    <t>居室以外の室内温度の緩和</t>
  </si>
  <si>
    <t>CO2濃度・外気温湿度による外気取入量の調整</t>
  </si>
  <si>
    <t>パッケージ形空調機の省エネチューニングの実施</t>
  </si>
  <si>
    <t>建物全体の給排気バランスの管理</t>
  </si>
  <si>
    <t>エレベーター機械室・電気室の室内設定温度の適正化</t>
  </si>
  <si>
    <t>ファンの間欠運転の実施</t>
  </si>
  <si>
    <t>貯湯式電気温水器の夜間・休日の電源停止</t>
  </si>
  <si>
    <t>便所洗面給湯の給湯中止又は給湯期間の短縮</t>
  </si>
  <si>
    <t>給湯温度設定の緩和</t>
  </si>
  <si>
    <t>ブラインドの日射制御及びｽｹｼﾞｭｰﾙ制御の導入</t>
  </si>
  <si>
    <t>省エネ型自動販売機又は自動販売機のスケジュール制御の導入</t>
  </si>
  <si>
    <t>洗浄便座暖房の夏季停止</t>
  </si>
  <si>
    <t>表-１　用途別　設備別エネルギー使用比率 （％）</t>
    <rPh sb="0" eb="1">
      <t>ヒョウ</t>
    </rPh>
    <rPh sb="4" eb="6">
      <t>ヨウト</t>
    </rPh>
    <rPh sb="6" eb="7">
      <t>ベツ</t>
    </rPh>
    <rPh sb="8" eb="10">
      <t>セツビ</t>
    </rPh>
    <rPh sb="10" eb="11">
      <t>ベツ</t>
    </rPh>
    <rPh sb="16" eb="18">
      <t>シヨウ</t>
    </rPh>
    <rPh sb="18" eb="20">
      <t>ヒリツ</t>
    </rPh>
    <phoneticPr fontId="4"/>
  </si>
  <si>
    <t>% 削減可能</t>
    <rPh sb="2" eb="4">
      <t>サクゲン</t>
    </rPh>
    <rPh sb="4" eb="6">
      <t>カノウ</t>
    </rPh>
    <phoneticPr fontId="4"/>
  </si>
  <si>
    <r>
      <t>削減可能量（CO</t>
    </r>
    <r>
      <rPr>
        <vertAlign val="subscript"/>
        <sz val="9"/>
        <color rgb="FF000000"/>
        <rFont val="游ゴシック Medium"/>
        <family val="3"/>
        <charset val="128"/>
      </rPr>
      <t>2</t>
    </r>
    <r>
      <rPr>
        <sz val="9"/>
        <color rgb="FF000000"/>
        <rFont val="游ゴシック Medium"/>
        <family val="3"/>
        <charset val="128"/>
      </rPr>
      <t>）</t>
    </r>
    <rPh sb="0" eb="2">
      <t>サクゲン</t>
    </rPh>
    <rPh sb="2" eb="4">
      <t>カノウ</t>
    </rPh>
    <rPh sb="4" eb="5">
      <t>リョウ</t>
    </rPh>
    <phoneticPr fontId="4"/>
  </si>
  <si>
    <t>削減余地(事業所全体）</t>
    <rPh sb="0" eb="2">
      <t>サクゲン</t>
    </rPh>
    <rPh sb="2" eb="4">
      <t>ヨチ</t>
    </rPh>
    <rPh sb="5" eb="8">
      <t>ジギョウショ</t>
    </rPh>
    <rPh sb="8" eb="10">
      <t>ゼンタイ</t>
    </rPh>
    <phoneticPr fontId="4"/>
  </si>
  <si>
    <t>削減余地（推計）</t>
    <rPh sb="0" eb="2">
      <t>サクゲン</t>
    </rPh>
    <rPh sb="2" eb="4">
      <t>ヨチ</t>
    </rPh>
    <rPh sb="5" eb="7">
      <t>スイケイ</t>
    </rPh>
    <phoneticPr fontId="4"/>
  </si>
  <si>
    <t>削減余地推計（CO2)</t>
    <rPh sb="0" eb="2">
      <t>サクゲン</t>
    </rPh>
    <rPh sb="2" eb="4">
      <t>ヨチ</t>
    </rPh>
    <rPh sb="4" eb="6">
      <t>スイケイ</t>
    </rPh>
    <phoneticPr fontId="4"/>
  </si>
  <si>
    <t>削減率の設定</t>
    <rPh sb="0" eb="2">
      <t>サクゲン</t>
    </rPh>
    <rPh sb="2" eb="3">
      <t>リツ</t>
    </rPh>
    <rPh sb="4" eb="6">
      <t>セッテイ</t>
    </rPh>
    <phoneticPr fontId="37"/>
  </si>
  <si>
    <t>省エネ率</t>
    <rPh sb="0" eb="1">
      <t>ショウ</t>
    </rPh>
    <rPh sb="3" eb="4">
      <t>リツ</t>
    </rPh>
    <phoneticPr fontId="37"/>
  </si>
  <si>
    <t>省エネ率の出典</t>
    <rPh sb="0" eb="1">
      <t>ショウ</t>
    </rPh>
    <rPh sb="3" eb="4">
      <t>リツ</t>
    </rPh>
    <rPh sb="5" eb="7">
      <t>シュッテン</t>
    </rPh>
    <phoneticPr fontId="37"/>
  </si>
  <si>
    <t>備考</t>
  </si>
  <si>
    <t>出典</t>
  </si>
  <si>
    <t>出典</t>
    <rPh sb="0" eb="2">
      <t>シュッテン</t>
    </rPh>
    <phoneticPr fontId="37"/>
  </si>
  <si>
    <t>対策
番号</t>
    <rPh sb="0" eb="2">
      <t>タイサク</t>
    </rPh>
    <rPh sb="3" eb="5">
      <t>バンゴウ</t>
    </rPh>
    <phoneticPr fontId="37"/>
  </si>
  <si>
    <t>評価項目等</t>
    <rPh sb="0" eb="2">
      <t>ヒョウカ</t>
    </rPh>
    <rPh sb="2" eb="4">
      <t>コウモク</t>
    </rPh>
    <rPh sb="4" eb="5">
      <t>トウ</t>
    </rPh>
    <phoneticPr fontId="37"/>
  </si>
  <si>
    <t>一般管理
10項目</t>
    <phoneticPr fontId="37"/>
  </si>
  <si>
    <t>使用者</t>
  </si>
  <si>
    <t>中小規模事業所の省エネルギー対策テキスト 平成29年度版 p12</t>
  </si>
  <si>
    <t>省エネ手帳</t>
    <rPh sb="0" eb="1">
      <t>ショウ</t>
    </rPh>
    <rPh sb="3" eb="5">
      <t>テチョウ</t>
    </rPh>
    <phoneticPr fontId="37"/>
  </si>
  <si>
    <t>-</t>
    <phoneticPr fontId="37"/>
  </si>
  <si>
    <t>中小規模事業所の省エネルギー対策テキスト 平成29年度版 p13</t>
  </si>
  <si>
    <t>ビル管理</t>
  </si>
  <si>
    <t>中小規模事業所の省エネルギー対策テキスト 平成29年度版 p14</t>
  </si>
  <si>
    <t>中小規模事業所の省エネルギー対策テキスト 平成29年度版 p18、73</t>
  </si>
  <si>
    <t>中小規模事業所の省エネルギー対策テキスト 平成29年度版 p2</t>
  </si>
  <si>
    <t>トップ認定基準</t>
    <rPh sb="3" eb="5">
      <t>ニンテイ</t>
    </rPh>
    <rPh sb="5" eb="7">
      <t>キジュン</t>
    </rPh>
    <phoneticPr fontId="37"/>
  </si>
  <si>
    <t>中小規模事業所の省エネルギー対策テキスト 平成29年度版 p46</t>
  </si>
  <si>
    <t>優良特定地球温暖化対策事業所の認定基準（第一区分事業所）No.３a.９、10、13、14</t>
  </si>
  <si>
    <t>中小規模事業所の省エネルギー対策テキスト 平成29年度版 p43</t>
  </si>
  <si>
    <t>中小規模事業所の省エネルギー対策テキスト 平成29年度版 p44</t>
  </si>
  <si>
    <t>中小規模事業所の省エネルギー対策テキスト 平成29年度版 p45</t>
  </si>
  <si>
    <t>中小規模事業所の省エネルギー対策テキスト 平成29年度版 p50</t>
  </si>
  <si>
    <t>中小規模事業所の省エネルギー対策テキスト 平成29年度版 p48</t>
  </si>
  <si>
    <t>1f.1</t>
  </si>
  <si>
    <t>エコチューニング総合管理手法2 p117</t>
  </si>
  <si>
    <t>換気
10項目</t>
    <phoneticPr fontId="37"/>
  </si>
  <si>
    <t>優良特定地球温暖化対策事業所の認定基準（第一区分事業所）No. 1b.11</t>
  </si>
  <si>
    <t>中小規模事業所の省エネルギー対策テキスト 平成29年度版 p49</t>
  </si>
  <si>
    <t>エコチューニング総合管理手法2 p159</t>
  </si>
  <si>
    <t>照明
10項目</t>
    <phoneticPr fontId="37"/>
  </si>
  <si>
    <t>中小規模事業所の省エネルギー対策テキスト 平成29年度版 p33</t>
  </si>
  <si>
    <t>エコチューニング総合管理手法2 p230</t>
  </si>
  <si>
    <t>中小規模事業所の省エネルギー対策テキスト 平成29年度版 p36</t>
  </si>
  <si>
    <t>中小規模事業所の省エネルギー対策テキスト 平成29年度版 p41</t>
  </si>
  <si>
    <t>給排水・衛生・給湯
5項目</t>
    <phoneticPr fontId="37"/>
  </si>
  <si>
    <t>中小規模事業所の省エネルギー対策テキスト 平成29年度版 p59</t>
  </si>
  <si>
    <t>中小規模事業所の省エネルギー対策テキスト 平成29年度版 p61</t>
  </si>
  <si>
    <t>水圧の低減</t>
  </si>
  <si>
    <t>優良特定地球温暖化対策事業所の認定基準（第一区分事業所）No.1d.5</t>
  </si>
  <si>
    <t>中小規模事業所の省エネルギー対策テキスト 平成29年度版 p52</t>
  </si>
  <si>
    <t>中小規模事業所の省エネルギー対策テキスト 平成29年度版 p57</t>
  </si>
  <si>
    <t>中小規模事業所の省エネルギー対策テキスト 平成29年度版 p54</t>
  </si>
  <si>
    <t>中小規模事業所の省エネルギー対策テキスト 平成29年度版 p58</t>
  </si>
  <si>
    <t>不用な機器の電源オフ</t>
  </si>
  <si>
    <t>中小規模事業所の省エネルギー対策テキスト 平成29年度版 p56</t>
  </si>
  <si>
    <t>エコチューニング総合管理手法2 p232</t>
  </si>
  <si>
    <t>ダウンサイジング
10項目</t>
    <phoneticPr fontId="37"/>
  </si>
  <si>
    <t>冷却塔</t>
  </si>
  <si>
    <t>3a.2</t>
    <phoneticPr fontId="37"/>
  </si>
  <si>
    <t>ポンプ類</t>
  </si>
  <si>
    <t>空調機</t>
  </si>
  <si>
    <t>3b.1</t>
    <phoneticPr fontId="37"/>
  </si>
  <si>
    <t>パッケージ型空調機</t>
  </si>
  <si>
    <t>3b.2</t>
    <phoneticPr fontId="37"/>
  </si>
  <si>
    <t>高効率パッケージの採用</t>
    <phoneticPr fontId="37"/>
  </si>
  <si>
    <t>電算用パッケージ型空調機</t>
  </si>
  <si>
    <t>ファン類</t>
  </si>
  <si>
    <t>3b.3</t>
    <phoneticPr fontId="37"/>
  </si>
  <si>
    <t>駐車場ＣＯ等濃度制御の導入</t>
    <phoneticPr fontId="37"/>
  </si>
  <si>
    <t>照明器具</t>
  </si>
  <si>
    <t>3c.1</t>
    <phoneticPr fontId="37"/>
  </si>
  <si>
    <t>変圧器</t>
  </si>
  <si>
    <t>3c.5</t>
    <phoneticPr fontId="37"/>
  </si>
  <si>
    <t>高効率変圧器への更新・台数集約</t>
    <phoneticPr fontId="37"/>
  </si>
  <si>
    <t>冷凍・冷蔵設備</t>
  </si>
  <si>
    <t>3f.3</t>
    <phoneticPr fontId="37"/>
  </si>
  <si>
    <t>冷凍・冷蔵用高効率冷凍機の採用</t>
    <phoneticPr fontId="37"/>
  </si>
  <si>
    <t>※第2計画期間用の評価項目には、事務用機器に関するものがないため、第1計画期間用の評価項目から引用した。</t>
    <rPh sb="1" eb="2">
      <t>ダイ</t>
    </rPh>
    <rPh sb="3" eb="5">
      <t>ケイカク</t>
    </rPh>
    <rPh sb="5" eb="8">
      <t>キカンヨウ</t>
    </rPh>
    <rPh sb="9" eb="11">
      <t>ヒョウカ</t>
    </rPh>
    <rPh sb="11" eb="13">
      <t>コウモク</t>
    </rPh>
    <rPh sb="16" eb="19">
      <t>ジムヨウ</t>
    </rPh>
    <rPh sb="19" eb="21">
      <t>キキ</t>
    </rPh>
    <rPh sb="22" eb="23">
      <t>カン</t>
    </rPh>
    <rPh sb="33" eb="34">
      <t>ダイ</t>
    </rPh>
    <rPh sb="35" eb="37">
      <t>ケイカク</t>
    </rPh>
    <rPh sb="37" eb="40">
      <t>キカンヨウ</t>
    </rPh>
    <rPh sb="41" eb="43">
      <t>ヒョウカ</t>
    </rPh>
    <rPh sb="43" eb="45">
      <t>コウモク</t>
    </rPh>
    <rPh sb="47" eb="49">
      <t>インヨウ</t>
    </rPh>
    <phoneticPr fontId="37"/>
  </si>
  <si>
    <t>※トップ認定基準：「総量削減義務と排出量取引制度における優良特定地球温暖化対策事業所の認定ガイドライン（第一区分事業所）（第二計画期間版）」（2017年5月　東京都環境局）</t>
    <rPh sb="4" eb="6">
      <t>ニンテイ</t>
    </rPh>
    <rPh sb="6" eb="8">
      <t>キジュン</t>
    </rPh>
    <rPh sb="75" eb="76">
      <t>ネン</t>
    </rPh>
    <rPh sb="77" eb="78">
      <t>ガツ</t>
    </rPh>
    <rPh sb="79" eb="81">
      <t>トウキョウ</t>
    </rPh>
    <rPh sb="81" eb="82">
      <t>ト</t>
    </rPh>
    <rPh sb="82" eb="84">
      <t>カンキョウ</t>
    </rPh>
    <rPh sb="84" eb="85">
      <t>キョク</t>
    </rPh>
    <phoneticPr fontId="37"/>
  </si>
  <si>
    <t>※省エネ手帳：「2012年ビル省エネ手帳」（財団法人省エネルギーセンター）</t>
    <rPh sb="1" eb="2">
      <t>ショウ</t>
    </rPh>
    <rPh sb="4" eb="6">
      <t>テチョウ</t>
    </rPh>
    <rPh sb="12" eb="13">
      <t>ネン</t>
    </rPh>
    <rPh sb="15" eb="16">
      <t>ショウ</t>
    </rPh>
    <rPh sb="18" eb="20">
      <t>テチョウ</t>
    </rPh>
    <rPh sb="22" eb="24">
      <t>ザイダン</t>
    </rPh>
    <rPh sb="24" eb="26">
      <t>ホウジン</t>
    </rPh>
    <rPh sb="26" eb="27">
      <t>ショウ</t>
    </rPh>
    <phoneticPr fontId="37"/>
  </si>
  <si>
    <t>-
-
-
-</t>
  </si>
  <si>
    <t>部分負荷時の空調用ポンプ運転の適正化</t>
  </si>
  <si>
    <t>パッケージ屋外機のフィンコイル洗浄</t>
  </si>
  <si>
    <t>外部に面する出入口の開閉の管理</t>
  </si>
  <si>
    <t>厨房外調機・ファンの風量モード切換制御の導入</t>
  </si>
  <si>
    <t>電算室の空調機運転の適正化</t>
  </si>
  <si>
    <t>228
248</t>
  </si>
  <si>
    <t>全熱交換器の導入
高効率バーナの導入</t>
  </si>
  <si>
    <t>-
10</t>
  </si>
  <si>
    <t>高効率冷却塔の導入</t>
  </si>
  <si>
    <t>0.143
0.1
0.292
0.167
0.01</t>
  </si>
  <si>
    <t>3a.3
3d.1
3d.8
3d.9
3f.5</t>
  </si>
  <si>
    <t>高効率空調用ポンプの導入
高効率給水ポンプの導入
高効率給湯ヒートポンプユニットの導入
自然冷媒ヒートポンプ給湯器の導入
高効率ブロワ・その他設備に係る高効率ポンプの導入</t>
  </si>
  <si>
    <t>249
154
163
168
241</t>
  </si>
  <si>
    <t>高効率ポンプの導入
ポンプ・ファンのインバータ制御
ヒートポンプ式給湯器等の導入
高効率モータの導入
地中熱ヒートポンプの導入</t>
  </si>
  <si>
    <t>-
-
-
-
-</t>
  </si>
  <si>
    <t>高効率空調機の導入</t>
  </si>
  <si>
    <t>153
154
155
156</t>
  </si>
  <si>
    <t>高効率モータの導入(空調用)
ポンプ・ファンのインバータ制御
空調用高効率冷凍機の採用
高効率ボイラの採用（空調用）</t>
  </si>
  <si>
    <t>高効率パッケージ形空調機の導入</t>
  </si>
  <si>
    <t>高効率ファンの導入</t>
  </si>
  <si>
    <t>高効率照明器具の導入</t>
  </si>
  <si>
    <t>144
145
146
148
149
150
151
224
145</t>
  </si>
  <si>
    <t>高効率照明ランプの採用（屋内）
照明用人感センサの採用
高効率照明器具の採用（屋内）
高効率照明ランプの採用（屋外）
蛍光灯へ電子安定器採用（屋外）
高効率照明器具の採用（屋外）
高輝度誘導灯の導入
高効率照明ランプの採用（屋内）
蛍光灯へ電子安定器採用（屋内）</t>
  </si>
  <si>
    <t>高効率変圧器の導入</t>
  </si>
  <si>
    <t>高効率冷凍・冷蔵設備の導入</t>
  </si>
  <si>
    <t>用途補正係数</t>
    <rPh sb="0" eb="2">
      <t>ヨウト</t>
    </rPh>
    <rPh sb="2" eb="4">
      <t>ホセイ</t>
    </rPh>
    <rPh sb="4" eb="6">
      <t>ケイスウ</t>
    </rPh>
    <phoneticPr fontId="4"/>
  </si>
  <si>
    <t>適用範囲補正係数</t>
    <rPh sb="0" eb="2">
      <t>テキヨウ</t>
    </rPh>
    <rPh sb="2" eb="4">
      <t>ハンイ</t>
    </rPh>
    <rPh sb="4" eb="6">
      <t>ホセイ</t>
    </rPh>
    <rPh sb="6" eb="8">
      <t>ケイスウ</t>
    </rPh>
    <phoneticPr fontId="4"/>
  </si>
  <si>
    <t>照明の反射防止ルーバーの撤去</t>
  </si>
  <si>
    <t>建物全体が負圧又は過度な正圧にならないように給排気量を調整</t>
  </si>
  <si>
    <t>適用範囲補正</t>
    <rPh sb="0" eb="2">
      <t>テキヨウ</t>
    </rPh>
    <rPh sb="2" eb="4">
      <t>ハンイ</t>
    </rPh>
    <rPh sb="4" eb="6">
      <t>ホセイ</t>
    </rPh>
    <phoneticPr fontId="4"/>
  </si>
  <si>
    <t>事務室</t>
    <rPh sb="0" eb="3">
      <t>ジムシツ</t>
    </rPh>
    <phoneticPr fontId="4"/>
  </si>
  <si>
    <t>省エネ率
（補正計算適用）</t>
    <rPh sb="0" eb="1">
      <t>ショウ</t>
    </rPh>
    <rPh sb="3" eb="4">
      <t>リツ</t>
    </rPh>
    <rPh sb="6" eb="8">
      <t>ホセイ</t>
    </rPh>
    <rPh sb="8" eb="10">
      <t>ケイサン</t>
    </rPh>
    <rPh sb="10" eb="12">
      <t>テキヨウ</t>
    </rPh>
    <phoneticPr fontId="37"/>
  </si>
  <si>
    <t>0.0136(t-c/GJ)
※東京都　特定温室効果ガス排出量算定ガイドラインより。</t>
    <phoneticPr fontId="4"/>
  </si>
  <si>
    <t>用途別床面積</t>
    <rPh sb="0" eb="2">
      <t>ヨウト</t>
    </rPh>
    <rPh sb="2" eb="3">
      <t>ベツ</t>
    </rPh>
    <rPh sb="3" eb="6">
      <t>ユカメンセキ</t>
    </rPh>
    <phoneticPr fontId="4"/>
  </si>
  <si>
    <t>屋内駐車場</t>
    <rPh sb="0" eb="2">
      <t>オクナイ</t>
    </rPh>
    <rPh sb="2" eb="5">
      <t>チュウシャジョウ</t>
    </rPh>
    <phoneticPr fontId="4"/>
  </si>
  <si>
    <t>延べ床面積</t>
    <rPh sb="0" eb="1">
      <t>ノ</t>
    </rPh>
    <rPh sb="2" eb="5">
      <t>ユカメンセキ</t>
    </rPh>
    <phoneticPr fontId="4"/>
  </si>
  <si>
    <t>駐車場</t>
    <rPh sb="0" eb="3">
      <t>チュウシャジョウ</t>
    </rPh>
    <phoneticPr fontId="4"/>
  </si>
  <si>
    <t>面積比率</t>
    <rPh sb="0" eb="2">
      <t>メンセキ</t>
    </rPh>
    <rPh sb="2" eb="4">
      <t>ヒリツ</t>
    </rPh>
    <phoneticPr fontId="4"/>
  </si>
  <si>
    <t>※ユーザー入力値から算出：延べ床面積に対する用途別床面積の比率から算定</t>
    <rPh sb="22" eb="24">
      <t>ヨウト</t>
    </rPh>
    <rPh sb="24" eb="25">
      <t>ベツ</t>
    </rPh>
    <rPh sb="25" eb="28">
      <t>ユカメンセキ</t>
    </rPh>
    <rPh sb="29" eb="31">
      <t>ヒリツ</t>
    </rPh>
    <phoneticPr fontId="4"/>
  </si>
  <si>
    <t>厨房</t>
    <rPh sb="0" eb="2">
      <t>チュウボウ</t>
    </rPh>
    <phoneticPr fontId="4"/>
  </si>
  <si>
    <t>※ファンの出力比率が不明の場合に使用する</t>
    <rPh sb="5" eb="7">
      <t>シュツリョク</t>
    </rPh>
    <rPh sb="7" eb="9">
      <t>ヒリツ</t>
    </rPh>
    <rPh sb="10" eb="12">
      <t>フメイ</t>
    </rPh>
    <rPh sb="13" eb="15">
      <t>バアイ</t>
    </rPh>
    <rPh sb="16" eb="18">
      <t>シヨウ</t>
    </rPh>
    <phoneticPr fontId="4"/>
  </si>
  <si>
    <t>駐車場※</t>
    <rPh sb="0" eb="3">
      <t>チュウシャジョウ</t>
    </rPh>
    <phoneticPr fontId="4"/>
  </si>
  <si>
    <t>選択中</t>
    <rPh sb="0" eb="3">
      <t>センタクチュウ</t>
    </rPh>
    <phoneticPr fontId="4"/>
  </si>
  <si>
    <t>説明文</t>
    <rPh sb="0" eb="2">
      <t>セツメイ</t>
    </rPh>
    <rPh sb="2" eb="3">
      <t>ブン</t>
    </rPh>
    <phoneticPr fontId="4"/>
  </si>
  <si>
    <t>建物全体の冷熱源容量に占めるパッケージ型空調機の割合を選択してください。</t>
    <rPh sb="11" eb="12">
      <t>シ</t>
    </rPh>
    <rPh sb="19" eb="20">
      <t>ガタ</t>
    </rPh>
    <rPh sb="20" eb="22">
      <t>クウチョウ</t>
    </rPh>
    <rPh sb="22" eb="23">
      <t>キ</t>
    </rPh>
    <phoneticPr fontId="4"/>
  </si>
  <si>
    <t>ファンの電動機出力に占める駐車場ファンの出力の割合を選択してください。</t>
    <rPh sb="4" eb="7">
      <t>デンドウキ</t>
    </rPh>
    <rPh sb="7" eb="9">
      <t>シュツリョク</t>
    </rPh>
    <rPh sb="10" eb="11">
      <t>シ</t>
    </rPh>
    <rPh sb="13" eb="16">
      <t>チュウシャジョウ</t>
    </rPh>
    <rPh sb="20" eb="22">
      <t>シュツリョク</t>
    </rPh>
    <rPh sb="23" eb="25">
      <t>ワリアイ</t>
    </rPh>
    <rPh sb="26" eb="28">
      <t>センタク</t>
    </rPh>
    <phoneticPr fontId="4"/>
  </si>
  <si>
    <t>10%以下</t>
    <rPh sb="3" eb="5">
      <t>イカ</t>
    </rPh>
    <phoneticPr fontId="4"/>
  </si>
  <si>
    <t>50%</t>
    <phoneticPr fontId="4"/>
  </si>
  <si>
    <t>不明</t>
    <rPh sb="0" eb="2">
      <t>フメイ</t>
    </rPh>
    <phoneticPr fontId="4"/>
  </si>
  <si>
    <t>駐車場なし</t>
    <rPh sb="0" eb="3">
      <t>チュウシャジョウ</t>
    </rPh>
    <phoneticPr fontId="4"/>
  </si>
  <si>
    <t>パッケージなし</t>
    <phoneticPr fontId="4"/>
  </si>
  <si>
    <t>熱源・空調機器等の利用状況</t>
    <rPh sb="0" eb="2">
      <t>ネツゲン</t>
    </rPh>
    <rPh sb="3" eb="5">
      <t>クウチョウ</t>
    </rPh>
    <rPh sb="5" eb="7">
      <t>キキ</t>
    </rPh>
    <rPh sb="7" eb="8">
      <t>トウ</t>
    </rPh>
    <rPh sb="9" eb="11">
      <t>リヨウ</t>
    </rPh>
    <rPh sb="11" eb="13">
      <t>ジョウキョウ</t>
    </rPh>
    <phoneticPr fontId="4"/>
  </si>
  <si>
    <t>サーバー室</t>
    <rPh sb="4" eb="5">
      <t>シツ</t>
    </rPh>
    <phoneticPr fontId="4"/>
  </si>
  <si>
    <t>情報通信（サーバー室）</t>
    <rPh sb="0" eb="2">
      <t>ジョウホウ</t>
    </rPh>
    <rPh sb="2" eb="4">
      <t>ツウシン</t>
    </rPh>
    <rPh sb="9" eb="10">
      <t>シツ</t>
    </rPh>
    <phoneticPr fontId="4"/>
  </si>
  <si>
    <t>※ユーザー入力値（プルダウン選択）から算出。駐車場のファン比率が不明の場合は、面積比率で代用。</t>
    <rPh sb="14" eb="16">
      <t>センタク</t>
    </rPh>
    <rPh sb="22" eb="25">
      <t>チュウシャジョウ</t>
    </rPh>
    <rPh sb="29" eb="31">
      <t>ヒリツ</t>
    </rPh>
    <rPh sb="32" eb="34">
      <t>フメイ</t>
    </rPh>
    <rPh sb="35" eb="37">
      <t>バアイ</t>
    </rPh>
    <rPh sb="39" eb="41">
      <t>メンセキ</t>
    </rPh>
    <rPh sb="41" eb="42">
      <t>ヒ</t>
    </rPh>
    <rPh sb="42" eb="43">
      <t>リツ</t>
    </rPh>
    <rPh sb="44" eb="46">
      <t>ダイヨウ</t>
    </rPh>
    <phoneticPr fontId="4"/>
  </si>
  <si>
    <t>■ 事務室・情報通信・厨房 適用範囲補正係数</t>
    <rPh sb="2" eb="5">
      <t>ジムシツ</t>
    </rPh>
    <rPh sb="6" eb="8">
      <t>ジョウホウ</t>
    </rPh>
    <rPh sb="8" eb="10">
      <t>ツウシン</t>
    </rPh>
    <rPh sb="11" eb="13">
      <t>チュウボウ</t>
    </rPh>
    <rPh sb="14" eb="22">
      <t>テキヨウハンイホセイケイスウ</t>
    </rPh>
    <phoneticPr fontId="4"/>
  </si>
  <si>
    <t>情報通信（サーバー室等）</t>
    <rPh sb="0" eb="2">
      <t>ジョウホウ</t>
    </rPh>
    <rPh sb="2" eb="4">
      <t>ツウシン</t>
    </rPh>
    <rPh sb="9" eb="10">
      <t>シツ</t>
    </rPh>
    <rPh sb="10" eb="11">
      <t>トウ</t>
    </rPh>
    <phoneticPr fontId="4"/>
  </si>
  <si>
    <t>建物全体の冷熱源容量に対する冷熱源機器の割合を選択してください（地域冷暖房を含みます）。</t>
    <rPh sb="0" eb="2">
      <t>タテモノ</t>
    </rPh>
    <rPh sb="2" eb="4">
      <t>ゼンタイ</t>
    </rPh>
    <rPh sb="5" eb="6">
      <t>レイ</t>
    </rPh>
    <rPh sb="6" eb="8">
      <t>ネツゲン</t>
    </rPh>
    <rPh sb="8" eb="10">
      <t>ヨウリョウ</t>
    </rPh>
    <rPh sb="11" eb="12">
      <t>タイ</t>
    </rPh>
    <rPh sb="14" eb="15">
      <t>レイ</t>
    </rPh>
    <rPh sb="15" eb="17">
      <t>ネツゲン</t>
    </rPh>
    <rPh sb="17" eb="19">
      <t>キキ</t>
    </rPh>
    <rPh sb="20" eb="22">
      <t>ワリアイ</t>
    </rPh>
    <rPh sb="23" eb="25">
      <t>センタク</t>
    </rPh>
    <rPh sb="32" eb="34">
      <t>チイキ</t>
    </rPh>
    <rPh sb="34" eb="37">
      <t>レイダンボウ</t>
    </rPh>
    <rPh sb="38" eb="39">
      <t>フク</t>
    </rPh>
    <phoneticPr fontId="4"/>
  </si>
  <si>
    <t>①熱源</t>
    <rPh sb="1" eb="3">
      <t>ネツゲン</t>
    </rPh>
    <phoneticPr fontId="4"/>
  </si>
  <si>
    <t>熱源機器割合（％）＝</t>
    <rPh sb="0" eb="2">
      <t>ネツゲン</t>
    </rPh>
    <rPh sb="2" eb="4">
      <t>キキ</t>
    </rPh>
    <rPh sb="4" eb="6">
      <t>ワリアイ</t>
    </rPh>
    <phoneticPr fontId="4"/>
  </si>
  <si>
    <t>駐車場ファン総電動機出力</t>
    <rPh sb="0" eb="3">
      <t>チュウシャジョウ</t>
    </rPh>
    <rPh sb="6" eb="7">
      <t>ソウ</t>
    </rPh>
    <rPh sb="7" eb="10">
      <t>デンドウキ</t>
    </rPh>
    <rPh sb="10" eb="12">
      <t>シュツリョク</t>
    </rPh>
    <phoneticPr fontId="4"/>
  </si>
  <si>
    <t>ファン総電動機出力（建物全体）</t>
    <rPh sb="3" eb="4">
      <t>ソウ</t>
    </rPh>
    <rPh sb="4" eb="7">
      <t>デンドウキ</t>
    </rPh>
    <rPh sb="7" eb="9">
      <t>シュツリョク</t>
    </rPh>
    <rPh sb="10" eb="12">
      <t>タテモノ</t>
    </rPh>
    <rPh sb="12" eb="14">
      <t>ゼンタイ</t>
    </rPh>
    <phoneticPr fontId="4"/>
  </si>
  <si>
    <r>
      <t>パッケージ割合（％）</t>
    </r>
    <r>
      <rPr>
        <sz val="11"/>
        <color theme="1"/>
        <rFont val="Meiryo UI"/>
        <family val="3"/>
        <charset val="128"/>
      </rPr>
      <t>＝</t>
    </r>
    <rPh sb="5" eb="7">
      <t>ワリアイ</t>
    </rPh>
    <phoneticPr fontId="4"/>
  </si>
  <si>
    <r>
      <t>駐車場ファン割合（％）</t>
    </r>
    <r>
      <rPr>
        <sz val="11"/>
        <color theme="1"/>
        <rFont val="Meiryo UI"/>
        <family val="3"/>
        <charset val="128"/>
      </rPr>
      <t>＝</t>
    </r>
    <rPh sb="0" eb="3">
      <t>チュウシャジョウ</t>
    </rPh>
    <rPh sb="6" eb="8">
      <t>ワリアイ</t>
    </rPh>
    <phoneticPr fontId="4"/>
  </si>
  <si>
    <t>建物全体の総冷熱源容量（地域冷暖房を含む）
（熱源・冷却塔・空調機・パッケージ・ファンコイルの合計）</t>
    <rPh sb="0" eb="2">
      <t>タテモノ</t>
    </rPh>
    <rPh sb="2" eb="4">
      <t>ゼンタイ</t>
    </rPh>
    <rPh sb="5" eb="6">
      <t>ソウ</t>
    </rPh>
    <rPh sb="6" eb="7">
      <t>レイ</t>
    </rPh>
    <rPh sb="7" eb="9">
      <t>ネツゲン</t>
    </rPh>
    <rPh sb="9" eb="11">
      <t>ヨウリョウ</t>
    </rPh>
    <rPh sb="12" eb="17">
      <t>チイキレイダンボウ</t>
    </rPh>
    <rPh sb="18" eb="19">
      <t>フク</t>
    </rPh>
    <rPh sb="23" eb="25">
      <t>ネツゲン</t>
    </rPh>
    <rPh sb="26" eb="29">
      <t>レイキャクトウ</t>
    </rPh>
    <rPh sb="30" eb="32">
      <t>クウチョウ</t>
    </rPh>
    <rPh sb="32" eb="33">
      <t>キ</t>
    </rPh>
    <rPh sb="47" eb="49">
      <t>ゴウケイ</t>
    </rPh>
    <phoneticPr fontId="4"/>
  </si>
  <si>
    <t>熱源機器の冷却能力の合計（地域冷暖房を含む）</t>
    <rPh sb="0" eb="2">
      <t>ネツゲン</t>
    </rPh>
    <rPh sb="2" eb="4">
      <t>キキ</t>
    </rPh>
    <rPh sb="5" eb="7">
      <t>レイキャク</t>
    </rPh>
    <rPh sb="7" eb="9">
      <t>ノウリョク</t>
    </rPh>
    <rPh sb="10" eb="12">
      <t>ゴウケイ</t>
    </rPh>
    <rPh sb="13" eb="15">
      <t>チイキ</t>
    </rPh>
    <rPh sb="15" eb="18">
      <t>レイダンボウ</t>
    </rPh>
    <rPh sb="19" eb="20">
      <t>フク</t>
    </rPh>
    <phoneticPr fontId="4"/>
  </si>
  <si>
    <t>100%</t>
    <phoneticPr fontId="4"/>
  </si>
  <si>
    <t>空気熱源、水熱源パッケージ型空調の合計</t>
    <rPh sb="0" eb="2">
      <t>クウキ</t>
    </rPh>
    <rPh sb="2" eb="4">
      <t>ネツゲン</t>
    </rPh>
    <rPh sb="5" eb="6">
      <t>ミズ</t>
    </rPh>
    <rPh sb="6" eb="8">
      <t>ネツゲン</t>
    </rPh>
    <rPh sb="13" eb="14">
      <t>ガタ</t>
    </rPh>
    <rPh sb="14" eb="16">
      <t>クウチョウ</t>
    </rPh>
    <rPh sb="17" eb="19">
      <t>ゴウケイ</t>
    </rPh>
    <phoneticPr fontId="4"/>
  </si>
  <si>
    <t>セントラル（併用含む）</t>
    <rPh sb="6" eb="8">
      <t>ヘイヨウ</t>
    </rPh>
    <rPh sb="8" eb="9">
      <t>フク</t>
    </rPh>
    <phoneticPr fontId="4"/>
  </si>
  <si>
    <t>コメント１</t>
    <phoneticPr fontId="4"/>
  </si>
  <si>
    <t>コメント２</t>
    <phoneticPr fontId="4"/>
  </si>
  <si>
    <t>コメント３</t>
    <phoneticPr fontId="4"/>
  </si>
  <si>
    <t>コメント４</t>
    <phoneticPr fontId="4"/>
  </si>
  <si>
    <t>コメント５</t>
  </si>
  <si>
    <t>コメント６</t>
  </si>
  <si>
    <t>コメント７</t>
    <phoneticPr fontId="4"/>
  </si>
  <si>
    <t>☆省エネ余地の大きな対策の例</t>
    <rPh sb="1" eb="2">
      <t>ショウ</t>
    </rPh>
    <rPh sb="4" eb="6">
      <t>ヨチ</t>
    </rPh>
    <rPh sb="7" eb="8">
      <t>オオ</t>
    </rPh>
    <rPh sb="10" eb="12">
      <t>タイサク</t>
    </rPh>
    <rPh sb="13" eb="14">
      <t>レイ</t>
    </rPh>
    <phoneticPr fontId="4"/>
  </si>
  <si>
    <t>コメント候補</t>
    <rPh sb="4" eb="6">
      <t>コウホ</t>
    </rPh>
    <phoneticPr fontId="4"/>
  </si>
  <si>
    <t>削減余地合計(t-CO2)</t>
    <rPh sb="0" eb="2">
      <t>サクゲン</t>
    </rPh>
    <rPh sb="2" eb="4">
      <t>ヨチ</t>
    </rPh>
    <rPh sb="4" eb="6">
      <t>ゴウケイ</t>
    </rPh>
    <phoneticPr fontId="4"/>
  </si>
  <si>
    <t>※詳細が不明の場合は概算で結構です。</t>
    <rPh sb="1" eb="3">
      <t>ショウサイ</t>
    </rPh>
    <rPh sb="4" eb="6">
      <t>フメイ</t>
    </rPh>
    <rPh sb="7" eb="9">
      <t>バアイ</t>
    </rPh>
    <rPh sb="10" eb="12">
      <t>ガイサン</t>
    </rPh>
    <rPh sb="13" eb="15">
      <t>ケッコウ</t>
    </rPh>
    <phoneticPr fontId="4"/>
  </si>
  <si>
    <t>実施率点数換算（１０点満点）</t>
    <rPh sb="0" eb="2">
      <t>ジッシ</t>
    </rPh>
    <rPh sb="2" eb="3">
      <t>リツ</t>
    </rPh>
    <rPh sb="3" eb="5">
      <t>テンスウ</t>
    </rPh>
    <rPh sb="5" eb="7">
      <t>カンザン</t>
    </rPh>
    <rPh sb="10" eb="11">
      <t>テン</t>
    </rPh>
    <rPh sb="11" eb="13">
      <t>マンテン</t>
    </rPh>
    <phoneticPr fontId="4"/>
  </si>
  <si>
    <t>削減余地（％）</t>
    <rPh sb="0" eb="2">
      <t>サクゲン</t>
    </rPh>
    <rPh sb="2" eb="4">
      <t>ヨチ</t>
    </rPh>
    <phoneticPr fontId="4"/>
  </si>
  <si>
    <t>給排水・衛生・給湯</t>
    <phoneticPr fontId="4"/>
  </si>
  <si>
    <t>■　省エネ対策の実施状況</t>
    <rPh sb="2" eb="3">
      <t>ショウ</t>
    </rPh>
    <rPh sb="5" eb="7">
      <t>タイサク</t>
    </rPh>
    <rPh sb="8" eb="10">
      <t>ジッシ</t>
    </rPh>
    <rPh sb="10" eb="12">
      <t>ジョウキョウ</t>
    </rPh>
    <phoneticPr fontId="4"/>
  </si>
  <si>
    <t>☆省エネ対策の達成度</t>
    <rPh sb="1" eb="2">
      <t>ショウ</t>
    </rPh>
    <rPh sb="4" eb="6">
      <t>タイサク</t>
    </rPh>
    <rPh sb="7" eb="9">
      <t>タッセイ</t>
    </rPh>
    <rPh sb="9" eb="10">
      <t>ド</t>
    </rPh>
    <phoneticPr fontId="4"/>
  </si>
  <si>
    <t>削減余地合計
(t-CO2)</t>
    <rPh sb="0" eb="2">
      <t>サクゲン</t>
    </rPh>
    <rPh sb="2" eb="4">
      <t>ヨチ</t>
    </rPh>
    <rPh sb="4" eb="6">
      <t>ゴウケイ</t>
    </rPh>
    <phoneticPr fontId="4"/>
  </si>
  <si>
    <t>実施率点数換算
（１０点満点）</t>
    <rPh sb="0" eb="2">
      <t>ジッシ</t>
    </rPh>
    <rPh sb="2" eb="3">
      <t>リツ</t>
    </rPh>
    <rPh sb="3" eb="5">
      <t>テンスウ</t>
    </rPh>
    <rPh sb="5" eb="7">
      <t>カンザン</t>
    </rPh>
    <rPh sb="11" eb="12">
      <t>テン</t>
    </rPh>
    <rPh sb="12" eb="14">
      <t>マンテン</t>
    </rPh>
    <phoneticPr fontId="4"/>
  </si>
  <si>
    <t>セントラル</t>
    <phoneticPr fontId="4"/>
  </si>
  <si>
    <t>① 一般管理（10項目）</t>
    <rPh sb="2" eb="4">
      <t>イッパン</t>
    </rPh>
    <rPh sb="4" eb="6">
      <t>カンリ</t>
    </rPh>
    <rPh sb="9" eb="11">
      <t>コウモク</t>
    </rPh>
    <phoneticPr fontId="4"/>
  </si>
  <si>
    <t>④ 換気（10項目）</t>
    <rPh sb="2" eb="4">
      <t>カンキ</t>
    </rPh>
    <rPh sb="7" eb="9">
      <t>コウモク</t>
    </rPh>
    <phoneticPr fontId="4"/>
  </si>
  <si>
    <t>⑤ 照明（10項目）</t>
    <rPh sb="2" eb="4">
      <t>ショウメイ</t>
    </rPh>
    <rPh sb="7" eb="9">
      <t>コウモク</t>
    </rPh>
    <phoneticPr fontId="4"/>
  </si>
  <si>
    <t>⑥ 給排水・衛生・給湯（5項目）</t>
    <rPh sb="13" eb="15">
      <t>コウモク</t>
    </rPh>
    <phoneticPr fontId="4"/>
  </si>
  <si>
    <t>⑦ その他（10項目）</t>
    <rPh sb="4" eb="5">
      <t>タ</t>
    </rPh>
    <rPh sb="8" eb="10">
      <t>コウモク</t>
    </rPh>
    <phoneticPr fontId="4"/>
  </si>
  <si>
    <t>設備管理台帳、図面類の整備</t>
  </si>
  <si>
    <t>管理標準の策定</t>
  </si>
  <si>
    <t>定期的な計測、記録の実施</t>
  </si>
  <si>
    <t>省エネ対策取組状況の点検</t>
  </si>
  <si>
    <t>主要設備の使用状況の管理</t>
  </si>
  <si>
    <t>テナントや従業員との情報共有</t>
  </si>
  <si>
    <t>テナントや従業員への啓発活動の推進</t>
  </si>
  <si>
    <t>啓発ポスター等の掲示やイントラネットによる情報発信</t>
  </si>
  <si>
    <t>地球温暖化対策報告書作成ハンドブック4、９,10</t>
  </si>
  <si>
    <t>地球温暖化対策報告書作成ハンドブック46</t>
  </si>
  <si>
    <t>中小規模事業所の省エネルギー対策テキスト 平成29年度版 p15
地球温暖化対策報告書作成ハンドブック1,11,15</t>
  </si>
  <si>
    <t>ビル省エネ手帳2012　ｐ21　一般管理事項による削減効果の合計　5%を按分</t>
  </si>
  <si>
    <t>実施者
(中央)</t>
  </si>
  <si>
    <t>実施者
(個別)</t>
  </si>
  <si>
    <t>中小規模事業所の省エネルギー対策テキスト 平成29年度版  p43</t>
  </si>
  <si>
    <t>1b.9</t>
  </si>
  <si>
    <t>実温度の把握と調整</t>
  </si>
  <si>
    <t>空調機の温湿度センサー設置環境の改善</t>
  </si>
  <si>
    <t>出入口等の開放部分の削減</t>
  </si>
  <si>
    <t>中小規模事業所の省エネルギー対策テキスト 平成29年度版 p4
地球温暖化対策報告書作成ハンドブック59</t>
  </si>
  <si>
    <t>1b.1</t>
  </si>
  <si>
    <t>室使用開始時の空調起動時間の適正化</t>
  </si>
  <si>
    <t>業種別省エネルギー対策テキスト（テナントビル）ｐ19
地球温暖化対策報告書作成ハンドブック58</t>
  </si>
  <si>
    <t>地球温暖化対策報告書作成ハンドブック60</t>
  </si>
  <si>
    <t>空調設備のフィンコイル、フィルターの清掃</t>
  </si>
  <si>
    <t>中小規模事業所の省エネルギー対策テキスト 平成29年度版 p51
優良特定地球温暖化対策事業所の認定ガイドライン№2b.1</t>
  </si>
  <si>
    <t>2b.4</t>
  </si>
  <si>
    <t>空調スイッチの操作制限</t>
  </si>
  <si>
    <t>パッケージ形空調機の風量調整</t>
  </si>
  <si>
    <t>1b.18</t>
  </si>
  <si>
    <t>空調室外機置き場の環境整備</t>
  </si>
  <si>
    <t>優良特定地球温暖化対策事業所の認定ガイドライン1ｂ.18 </t>
  </si>
  <si>
    <t>空調（個別）5項目</t>
  </si>
  <si>
    <t>空調（セントラル）
10項目</t>
  </si>
  <si>
    <t>地球温暖化対策報告書作成ハンドブック90</t>
  </si>
  <si>
    <t>1a.8</t>
  </si>
  <si>
    <t>1a.3</t>
  </si>
  <si>
    <t>1a.5</t>
  </si>
  <si>
    <t>空調開始時の熱源起動時間の適正化</t>
  </si>
  <si>
    <t>地球温暖化対策報告書作成ハンドブック94</t>
  </si>
  <si>
    <t>地球温暖化対策報告書作成ハンドブック127</t>
  </si>
  <si>
    <t>1a.1</t>
  </si>
  <si>
    <t>熱源機器の運転台数の適正化</t>
  </si>
  <si>
    <t>空調用ポンプの運転台数の適正化</t>
  </si>
  <si>
    <t>1a.6</t>
  </si>
  <si>
    <t>ポンプの流量の適正化</t>
  </si>
  <si>
    <t>中小規模事業所の省エネルギー対策テキスト 平成29年度版 p63</t>
  </si>
  <si>
    <t>ファンの風量の適正化</t>
  </si>
  <si>
    <t>冷温水、蒸気配管等の保温対策の徹底</t>
  </si>
  <si>
    <t>地球温暖化対策報告書作成ハンドブック226</t>
  </si>
  <si>
    <t>蒸気トラップの点検、補修</t>
  </si>
  <si>
    <t>地球温暖化対策報告書作成ハンドブック141</t>
  </si>
  <si>
    <t>2a.5</t>
  </si>
  <si>
    <t>CO２濃度管理による外気取入量の削減</t>
  </si>
  <si>
    <t>地球温暖化対策報告書作成ハンドブック61</t>
  </si>
  <si>
    <t>1b.2</t>
  </si>
  <si>
    <t>給排気量バランスの適正化</t>
  </si>
  <si>
    <t>1b.11</t>
  </si>
  <si>
    <t>外気冷房の活用</t>
  </si>
  <si>
    <t>夜間、早朝の外気活用（ナイトパージ）</t>
  </si>
  <si>
    <t>1b.12</t>
  </si>
  <si>
    <t>優良特定地球温暖化対策事業所の認定基準（第一区分事業所）No. 1b.4</t>
  </si>
  <si>
    <t>1b.4</t>
  </si>
  <si>
    <t>厨房換気ファンの運転時間の適正化</t>
  </si>
  <si>
    <t>3b.32</t>
  </si>
  <si>
    <t>空調機、ダクトからのエアー漏れの是正</t>
  </si>
  <si>
    <t>地球温暖化対策報告書作成ハンドブック52</t>
  </si>
  <si>
    <t>空室、不在時等のこまめな消灯</t>
  </si>
  <si>
    <t>照明点灯範囲の明確化</t>
  </si>
  <si>
    <t>照明スイッチ付近に点灯範囲図を表示</t>
  </si>
  <si>
    <t>地球温暖化対策報告書作成ハンドブック53</t>
  </si>
  <si>
    <t>昼休みの一斉消灯</t>
  </si>
  <si>
    <t>地球温暖化対策報告書作成ハンドブック54</t>
  </si>
  <si>
    <t>地球温暖化対策報告書作成ハンドブック54、エコチューニング総合管理手法2 p229</t>
  </si>
  <si>
    <t>1c.6</t>
  </si>
  <si>
    <t>照明器具の清掃</t>
  </si>
  <si>
    <t>2c.2</t>
  </si>
  <si>
    <t>・明るさが低下する4～5年でランプ交換
・白熱球はLEDに交換</t>
  </si>
  <si>
    <t>3c.13</t>
  </si>
  <si>
    <t>1d.7</t>
  </si>
  <si>
    <t>冬季以外の手洗い給湯停止</t>
  </si>
  <si>
    <t>1d.8</t>
  </si>
  <si>
    <t>手洗い、シャワー用給湯温度の適正化</t>
  </si>
  <si>
    <t>個別給湯：40℃程度以下
セントラル給湯：給湯下限温度60℃程度</t>
  </si>
  <si>
    <t>1d.6</t>
  </si>
  <si>
    <t>節水対策</t>
  </si>
  <si>
    <t>その他、業種に特有な項目
（事務所）
10項目</t>
    <rPh sb="4" eb="6">
      <t>ギョウシュ</t>
    </rPh>
    <rPh sb="7" eb="9">
      <t>トクユウ</t>
    </rPh>
    <rPh sb="10" eb="12">
      <t>コウモク</t>
    </rPh>
    <rPh sb="14" eb="16">
      <t>ジム</t>
    </rPh>
    <rPh sb="16" eb="17">
      <t>ショ</t>
    </rPh>
    <phoneticPr fontId="37"/>
  </si>
  <si>
    <t>事務用機器の省エネモードの活用</t>
  </si>
  <si>
    <t>旧1f.3</t>
  </si>
  <si>
    <t>パソコンの電源設定に関する啓発活動の実施</t>
  </si>
  <si>
    <t>事務用機器の終業後停止</t>
  </si>
  <si>
    <t>地球温暖化対策報告書作成ハンドブック64</t>
  </si>
  <si>
    <t>個人用端末の不用、離席時の停止</t>
  </si>
  <si>
    <t>地球温暖化対策報告書作成ハンドブック65</t>
  </si>
  <si>
    <t>地球温暖化対策報告書作成ハンドブック178</t>
  </si>
  <si>
    <t>旧1f.2</t>
  </si>
  <si>
    <t>待機電力の削減のための啓発活動の実施</t>
  </si>
  <si>
    <t>地球温暖化対策報告書作成ハンドブック56</t>
  </si>
  <si>
    <t>1b.5</t>
  </si>
  <si>
    <t>ブラインド類の運用の適正化</t>
  </si>
  <si>
    <t>3f.2</t>
  </si>
  <si>
    <t>冬季以外の便座ヒーターの停止等</t>
  </si>
  <si>
    <t>1d.4</t>
  </si>
  <si>
    <t>パッケージ</t>
    <phoneticPr fontId="4"/>
  </si>
  <si>
    <t>空調（共通）</t>
    <phoneticPr fontId="4"/>
  </si>
  <si>
    <t>空調（共通） １０項目</t>
    <rPh sb="9" eb="11">
      <t>コウモク</t>
    </rPh>
    <phoneticPr fontId="4"/>
  </si>
  <si>
    <t>空調（個別）5項目</t>
    <phoneticPr fontId="4"/>
  </si>
  <si>
    <t>その他、業種に特有な項目
（事務所）</t>
    <phoneticPr fontId="4"/>
  </si>
  <si>
    <t>空調（共通）</t>
  </si>
  <si>
    <t>空調方式フラグ</t>
    <rPh sb="0" eb="2">
      <t>クウチョウ</t>
    </rPh>
    <rPh sb="2" eb="4">
      <t>ホウシキ</t>
    </rPh>
    <phoneticPr fontId="4"/>
  </si>
  <si>
    <t>該当なし</t>
    <rPh sb="0" eb="2">
      <t>ガイトウ</t>
    </rPh>
    <phoneticPr fontId="4"/>
  </si>
  <si>
    <t>空調（個別）５項目</t>
    <rPh sb="0" eb="1">
      <t>ソラ</t>
    </rPh>
    <rPh sb="1" eb="2">
      <t>チョウ</t>
    </rPh>
    <rPh sb="3" eb="5">
      <t>コベツ</t>
    </rPh>
    <rPh sb="7" eb="9">
      <t>コウモク</t>
    </rPh>
    <phoneticPr fontId="4"/>
  </si>
  <si>
    <t>空調（セントラル）１０項目</t>
    <phoneticPr fontId="4"/>
  </si>
  <si>
    <t>種別</t>
    <phoneticPr fontId="4"/>
  </si>
  <si>
    <r>
      <rPr>
        <b/>
        <sz val="10"/>
        <color theme="0"/>
        <rFont val="Meiryo UI"/>
        <family val="3"/>
        <charset val="128"/>
      </rPr>
      <t>実施状況</t>
    </r>
    <r>
      <rPr>
        <sz val="10"/>
        <color theme="0"/>
        <rFont val="Meiryo UI"/>
        <family val="3"/>
        <charset val="128"/>
      </rPr>
      <t xml:space="preserve">
</t>
    </r>
    <r>
      <rPr>
        <sz val="8"/>
        <color theme="0"/>
        <rFont val="Meiryo UI"/>
        <family val="3"/>
        <charset val="128"/>
      </rPr>
      <t>（プルダウンで選択）</t>
    </r>
    <rPh sb="0" eb="2">
      <t>ジッシ</t>
    </rPh>
    <rPh sb="2" eb="4">
      <t>ジョウキョウ</t>
    </rPh>
    <rPh sb="12" eb="14">
      <t>センタク</t>
    </rPh>
    <phoneticPr fontId="4"/>
  </si>
  <si>
    <t>② 空調（共通）（10項目）</t>
    <rPh sb="2" eb="4">
      <t>クウチョウ</t>
    </rPh>
    <rPh sb="5" eb="7">
      <t>キョウツウ</t>
    </rPh>
    <rPh sb="11" eb="13">
      <t>コウモク</t>
    </rPh>
    <phoneticPr fontId="4"/>
  </si>
  <si>
    <t>③ 空調（個別・セントラル） （15項目）</t>
    <rPh sb="2" eb="4">
      <t>クウチョウ</t>
    </rPh>
    <rPh sb="5" eb="7">
      <t>コベツ</t>
    </rPh>
    <rPh sb="18" eb="20">
      <t>コウモク</t>
    </rPh>
    <phoneticPr fontId="4"/>
  </si>
  <si>
    <t>5項目</t>
    <rPh sb="1" eb="3">
      <t>コウモク</t>
    </rPh>
    <phoneticPr fontId="4"/>
  </si>
  <si>
    <t>空調（個別）</t>
    <phoneticPr fontId="4"/>
  </si>
  <si>
    <t>1.一般管理</t>
    <phoneticPr fontId="4"/>
  </si>
  <si>
    <t>4.換気</t>
    <phoneticPr fontId="4"/>
  </si>
  <si>
    <t>5.照明</t>
    <phoneticPr fontId="4"/>
  </si>
  <si>
    <t>6.給排水・衛生・給湯</t>
    <phoneticPr fontId="4"/>
  </si>
  <si>
    <t>7.その他</t>
    <phoneticPr fontId="4"/>
  </si>
  <si>
    <t>トップレベル事業所の評価基準より</t>
    <rPh sb="6" eb="9">
      <t>ジギョウショ</t>
    </rPh>
    <rPh sb="10" eb="14">
      <t>ヒョウカキジュン</t>
    </rPh>
    <phoneticPr fontId="4"/>
  </si>
  <si>
    <t>その他</t>
    <rPh sb="2" eb="3">
      <t>タ</t>
    </rPh>
    <phoneticPr fontId="4"/>
  </si>
  <si>
    <t>2.空調
（共通）</t>
    <phoneticPr fontId="4"/>
  </si>
  <si>
    <t>3.空調
(個別･ｾﾝﾄﾗﾙ)</t>
    <rPh sb="6" eb="8">
      <t>コベツ</t>
    </rPh>
    <phoneticPr fontId="4"/>
  </si>
  <si>
    <t>★入力方法：</t>
    <rPh sb="1" eb="3">
      <t>ニュウリョク</t>
    </rPh>
    <rPh sb="3" eb="5">
      <t>ホウホウ</t>
    </rPh>
    <phoneticPr fontId="4"/>
  </si>
  <si>
    <t>エネルギー（燃料等）年間使用量</t>
    <rPh sb="6" eb="8">
      <t>ネンリョウ</t>
    </rPh>
    <rPh sb="8" eb="9">
      <t>トウ</t>
    </rPh>
    <rPh sb="10" eb="12">
      <t>ネンカン</t>
    </rPh>
    <rPh sb="12" eb="15">
      <t>シヨウリョウ</t>
    </rPh>
    <phoneticPr fontId="4"/>
  </si>
  <si>
    <t>駐車場ファンの割合（すべてのファン容量に対する）</t>
    <rPh sb="0" eb="3">
      <t>チュウシャジョウ</t>
    </rPh>
    <rPh sb="7" eb="9">
      <t>ワリアイ</t>
    </rPh>
    <rPh sb="17" eb="19">
      <t>ヨウリョウ</t>
    </rPh>
    <rPh sb="20" eb="21">
      <t>タイ</t>
    </rPh>
    <phoneticPr fontId="4"/>
  </si>
  <si>
    <t>飲　食</t>
    <rPh sb="0" eb="1">
      <t>イン</t>
    </rPh>
    <rPh sb="2" eb="3">
      <t>ショク</t>
    </rPh>
    <phoneticPr fontId="4"/>
  </si>
  <si>
    <t>個別空調機（パッケージ型）の割合（空調全体に対する）</t>
    <rPh sb="0" eb="2">
      <t>コベツ</t>
    </rPh>
    <rPh sb="14" eb="16">
      <t>ワリアイ</t>
    </rPh>
    <phoneticPr fontId="4"/>
  </si>
  <si>
    <t>全体</t>
    <rPh sb="0" eb="2">
      <t>ゼンタイ</t>
    </rPh>
    <phoneticPr fontId="4"/>
  </si>
  <si>
    <t>■　省エネ対策（全70項目）実施による削減効果の推計</t>
    <rPh sb="2" eb="3">
      <t>ショウ</t>
    </rPh>
    <rPh sb="5" eb="7">
      <t>タイサク</t>
    </rPh>
    <rPh sb="8" eb="9">
      <t>ゼン</t>
    </rPh>
    <rPh sb="11" eb="13">
      <t>コウモク</t>
    </rPh>
    <rPh sb="14" eb="16">
      <t>ジッシ</t>
    </rPh>
    <rPh sb="19" eb="21">
      <t>サクゲン</t>
    </rPh>
    <rPh sb="21" eb="23">
      <t>コウカ</t>
    </rPh>
    <rPh sb="24" eb="26">
      <t>スイケイ</t>
    </rPh>
    <phoneticPr fontId="4"/>
  </si>
  <si>
    <t>☆省エネ対策の達成度</t>
  </si>
  <si>
    <t>%</t>
    <phoneticPr fontId="4"/>
  </si>
  <si>
    <r>
      <t>CO</t>
    </r>
    <r>
      <rPr>
        <b/>
        <vertAlign val="subscript"/>
        <sz val="10"/>
        <color theme="1"/>
        <rFont val="Meiryo UI"/>
        <family val="3"/>
        <charset val="128"/>
      </rPr>
      <t>2</t>
    </r>
    <r>
      <rPr>
        <b/>
        <sz val="10"/>
        <color theme="1"/>
        <rFont val="Meiryo UI"/>
        <family val="3"/>
        <charset val="128"/>
      </rPr>
      <t>削減可能量
（t-CO</t>
    </r>
    <r>
      <rPr>
        <b/>
        <vertAlign val="subscript"/>
        <sz val="10"/>
        <color theme="1"/>
        <rFont val="Meiryo UI"/>
        <family val="3"/>
        <charset val="128"/>
      </rPr>
      <t>2</t>
    </r>
    <r>
      <rPr>
        <b/>
        <sz val="10"/>
        <color theme="1"/>
        <rFont val="Meiryo UI"/>
        <family val="3"/>
        <charset val="128"/>
      </rPr>
      <t>）</t>
    </r>
    <rPh sb="3" eb="5">
      <t>サクゲン</t>
    </rPh>
    <rPh sb="5" eb="7">
      <t>カノウ</t>
    </rPh>
    <rPh sb="7" eb="8">
      <t>リョウ</t>
    </rPh>
    <phoneticPr fontId="4"/>
  </si>
  <si>
    <t>■　対策種別　削減効果の推計と対策の実施状況</t>
    <rPh sb="2" eb="4">
      <t>タイサク</t>
    </rPh>
    <rPh sb="4" eb="6">
      <t>シュベツ</t>
    </rPh>
    <rPh sb="7" eb="9">
      <t>サクゲン</t>
    </rPh>
    <rPh sb="9" eb="11">
      <t>コウカ</t>
    </rPh>
    <rPh sb="12" eb="14">
      <t>スイケイ</t>
    </rPh>
    <rPh sb="15" eb="17">
      <t>タイサク</t>
    </rPh>
    <rPh sb="18" eb="20">
      <t>ジッシ</t>
    </rPh>
    <rPh sb="20" eb="22">
      <t>ジョウキョウ</t>
    </rPh>
    <phoneticPr fontId="4"/>
  </si>
  <si>
    <t>①熱源※1</t>
    <rPh sb="1" eb="3">
      <t>ネツゲン</t>
    </rPh>
    <phoneticPr fontId="4"/>
  </si>
  <si>
    <t>空調（共通）
10項目</t>
    <phoneticPr fontId="37"/>
  </si>
  <si>
    <t>冷凍機の仕様に応じた冷却水温度の設定 （冷凍機の冷却水下限温度を目安に調整）</t>
  </si>
  <si>
    <t>手洗い用給湯器は5月～10月停止</t>
  </si>
  <si>
    <t>メーカー等による省エネチューニングの実施(例：冷媒蒸発温度設定の調整等）</t>
    <phoneticPr fontId="4"/>
  </si>
  <si>
    <t>フィンコイル：1回/3年程度
フィルター：2回/年程度</t>
    <phoneticPr fontId="4"/>
  </si>
  <si>
    <t>トップ認定基準1区分</t>
  </si>
  <si>
    <t>旧1b.11</t>
  </si>
  <si>
    <t>空調の停止が可能な室の空調停止に関する啓発活動又は巡回点検の実施</t>
  </si>
  <si>
    <t>部分負荷時の熱源運転適正化</t>
  </si>
  <si>
    <t>部分負荷時の空調用ポンプ運転適正化</t>
  </si>
  <si>
    <t>2b.3</t>
  </si>
  <si>
    <t>空調機・ファンコイルユニット等のフィルター清浄</t>
  </si>
  <si>
    <t>旧1c.1</t>
  </si>
  <si>
    <t>エコチューニング総合管理手法2 p109</t>
  </si>
  <si>
    <t>地球温暖化対策報告書作成ハンドブック152</t>
  </si>
  <si>
    <t>優良特定地球温暖化対策事業所の認定基準（第一区分事業所）No. 1.2</t>
  </si>
  <si>
    <t>個別・セントラル併用</t>
  </si>
  <si>
    <r>
      <t>削減余地</t>
    </r>
    <r>
      <rPr>
        <b/>
        <vertAlign val="superscript"/>
        <sz val="12"/>
        <color theme="1"/>
        <rFont val="Meiryo UI"/>
        <family val="3"/>
        <charset val="128"/>
      </rPr>
      <t>※</t>
    </r>
    <rPh sb="0" eb="2">
      <t>サクゲン</t>
    </rPh>
    <rPh sb="2" eb="4">
      <t>ヨチ</t>
    </rPh>
    <phoneticPr fontId="4"/>
  </si>
  <si>
    <r>
      <t>対策実施後</t>
    </r>
    <r>
      <rPr>
        <b/>
        <vertAlign val="superscript"/>
        <sz val="12"/>
        <color theme="1"/>
        <rFont val="Meiryo UI"/>
        <family val="3"/>
        <charset val="128"/>
      </rPr>
      <t>※</t>
    </r>
    <rPh sb="0" eb="2">
      <t>タイサク</t>
    </rPh>
    <rPh sb="2" eb="4">
      <t>ジッシ</t>
    </rPh>
    <rPh sb="4" eb="5">
      <t>ゴ</t>
    </rPh>
    <phoneticPr fontId="4"/>
  </si>
  <si>
    <r>
      <t>削減可能</t>
    </r>
    <r>
      <rPr>
        <b/>
        <vertAlign val="superscript"/>
        <sz val="14"/>
        <color theme="1"/>
        <rFont val="Meiryo UI"/>
        <family val="3"/>
        <charset val="128"/>
      </rPr>
      <t>※</t>
    </r>
    <phoneticPr fontId="4"/>
  </si>
  <si>
    <t>②パッケージ※2</t>
    <phoneticPr fontId="4"/>
  </si>
  <si>
    <t>③駐車場※3</t>
    <rPh sb="1" eb="4">
      <t>チュウシャジョウ</t>
    </rPh>
    <phoneticPr fontId="4"/>
  </si>
  <si>
    <t>75%</t>
    <phoneticPr fontId="4"/>
  </si>
  <si>
    <t>25%</t>
    <phoneticPr fontId="4"/>
  </si>
  <si>
    <t>※1 空調種別で「個別」を選択した場合は選択肢によらず0とする。「セントラル」の場合は1とする。「個別・セントラル併用」の場合は1-②とする。 
※2 空調種別で「個別」を選択した場合は選択肢によらず１とする。「セントラル」の場合は０とする。 「不明」の場合は大規模事業所点検表における標準的な事務所の値（20％）とする、
※3 駐車場のファン出力比が不明の場合は、延べ床面積に対する比率で代用する。</t>
    <rPh sb="49" eb="51">
      <t>コベツ</t>
    </rPh>
    <rPh sb="57" eb="59">
      <t>ヘイヨウ</t>
    </rPh>
    <rPh sb="61" eb="63">
      <t>バアイ</t>
    </rPh>
    <rPh sb="76" eb="78">
      <t>クウチョウ</t>
    </rPh>
    <rPh sb="78" eb="80">
      <t>シュベツ</t>
    </rPh>
    <rPh sb="82" eb="84">
      <t>コベツ</t>
    </rPh>
    <rPh sb="86" eb="88">
      <t>センタク</t>
    </rPh>
    <rPh sb="90" eb="92">
      <t>バアイ</t>
    </rPh>
    <rPh sb="93" eb="96">
      <t>センタクシ</t>
    </rPh>
    <rPh sb="113" eb="115">
      <t>バアイ</t>
    </rPh>
    <rPh sb="123" eb="125">
      <t>フメイ</t>
    </rPh>
    <rPh sb="127" eb="129">
      <t>バアイ</t>
    </rPh>
    <rPh sb="130" eb="133">
      <t>ダイキボ</t>
    </rPh>
    <rPh sb="133" eb="136">
      <t>ジギョウショ</t>
    </rPh>
    <rPh sb="136" eb="139">
      <t>テンケンヒョウ</t>
    </rPh>
    <rPh sb="143" eb="146">
      <t>ヒョウジュンテキ</t>
    </rPh>
    <rPh sb="147" eb="149">
      <t>ジム</t>
    </rPh>
    <rPh sb="149" eb="150">
      <t>ショ</t>
    </rPh>
    <rPh sb="151" eb="152">
      <t>アタイ</t>
    </rPh>
    <rPh sb="165" eb="168">
      <t>チュウシャジョウ</t>
    </rPh>
    <rPh sb="172" eb="174">
      <t>シュツリョク</t>
    </rPh>
    <rPh sb="174" eb="175">
      <t>ヒ</t>
    </rPh>
    <rPh sb="176" eb="178">
      <t>フメイ</t>
    </rPh>
    <rPh sb="179" eb="181">
      <t>バアイ</t>
    </rPh>
    <rPh sb="183" eb="184">
      <t>ノ</t>
    </rPh>
    <rPh sb="185" eb="188">
      <t>ユカメンセキ</t>
    </rPh>
    <rPh sb="189" eb="190">
      <t>タイ</t>
    </rPh>
    <rPh sb="192" eb="194">
      <t>ヒリツ</t>
    </rPh>
    <rPh sb="195" eb="197">
      <t>ダイヨウ</t>
    </rPh>
    <phoneticPr fontId="4"/>
  </si>
  <si>
    <t>厨房（飲食）</t>
    <rPh sb="0" eb="2">
      <t>チュウボウ</t>
    </rPh>
    <rPh sb="3" eb="5">
      <t>インショク</t>
    </rPh>
    <phoneticPr fontId="4"/>
  </si>
  <si>
    <t>②パッケージ</t>
    <phoneticPr fontId="4"/>
  </si>
  <si>
    <t>③駐車場</t>
    <rPh sb="1" eb="4">
      <t>チュウシャジョウ</t>
    </rPh>
    <phoneticPr fontId="4"/>
  </si>
  <si>
    <t>[デフォルト：2017/12/7時点の東京電力]
業務用電力（契約電力500kW以上）夏季：17.22(円(税込)/kWh)
※工場等は、高圧電力（契約電力500kW以上）夏季：15.87(円(税込)/kWh)でも良い。
http://www.tepco.co.jp/ep/corporate/plan_h/plan04.html</t>
    <rPh sb="16" eb="18">
      <t>ジテン</t>
    </rPh>
    <rPh sb="19" eb="21">
      <t>トウキョウ</t>
    </rPh>
    <rPh sb="21" eb="23">
      <t>デンリョク</t>
    </rPh>
    <rPh sb="43" eb="45">
      <t>カキ</t>
    </rPh>
    <rPh sb="52" eb="53">
      <t>エン</t>
    </rPh>
    <rPh sb="54" eb="56">
      <t>ゼイコミ</t>
    </rPh>
    <rPh sb="64" eb="67">
      <t>コウジョウナド</t>
    </rPh>
    <rPh sb="86" eb="88">
      <t>カキ</t>
    </rPh>
    <rPh sb="107" eb="108">
      <t>ヨ</t>
    </rPh>
    <phoneticPr fontId="4"/>
  </si>
  <si>
    <t>[デフォルト：2017/12/7時点の東京ガス]
一般契約料金 800m3を超える場合：106.48(円(税込)/㎥)</t>
    <rPh sb="16" eb="18">
      <t>ジテン</t>
    </rPh>
    <rPh sb="19" eb="21">
      <t>トウキョウ</t>
    </rPh>
    <rPh sb="38" eb="39">
      <t>コ</t>
    </rPh>
    <rPh sb="41" eb="43">
      <t>バアイ</t>
    </rPh>
    <rPh sb="51" eb="52">
      <t>エン</t>
    </rPh>
    <rPh sb="53" eb="55">
      <t>ゼイコミ</t>
    </rPh>
    <phoneticPr fontId="4"/>
  </si>
  <si>
    <t>[デフォルト：小型ローリー納入　2017年10月　納入価格　全国平均値]
（出典：資源エネルギー庁HP　石油製品価格調査　http://www.enecho.meti.go.jp/statistics/petroleum_and_lpgas/pl007/results.html　の　「3．産業用価格（軽油・A重油」）
※なお、表中では、68.8円（消費税（８％）は含まれていません。）のため税込価格とした。</t>
    <rPh sb="7" eb="9">
      <t>コガタ</t>
    </rPh>
    <rPh sb="13" eb="15">
      <t>ノウニュウ</t>
    </rPh>
    <rPh sb="20" eb="21">
      <t>ネン</t>
    </rPh>
    <rPh sb="23" eb="24">
      <t>ガツ</t>
    </rPh>
    <rPh sb="25" eb="27">
      <t>ノウニュウ</t>
    </rPh>
    <rPh sb="27" eb="29">
      <t>カカク</t>
    </rPh>
    <rPh sb="30" eb="32">
      <t>ゼンコク</t>
    </rPh>
    <rPh sb="32" eb="34">
      <t>ヘイキン</t>
    </rPh>
    <rPh sb="34" eb="35">
      <t>アタイ</t>
    </rPh>
    <rPh sb="38" eb="40">
      <t>シュッテン</t>
    </rPh>
    <rPh sb="41" eb="43">
      <t>シゲン</t>
    </rPh>
    <rPh sb="48" eb="49">
      <t>チョウ</t>
    </rPh>
    <rPh sb="196" eb="198">
      <t>ゼイコ</t>
    </rPh>
    <rPh sb="198" eb="200">
      <t>カカク</t>
    </rPh>
    <phoneticPr fontId="4"/>
  </si>
  <si>
    <t>主要機器の管理､計測､記録､保守､点検等に関するマニュアルの策定</t>
  </si>
  <si>
    <t>主要設備の使用状況､耐用年数､不具合の把握､記録</t>
  </si>
  <si>
    <t>・エネルギー使用量のグラフ化､過年度と比較､分析
・東京都の地球温暖化対策報告書制度の活用</t>
  </si>
  <si>
    <t>・エネルギー使用量､省エネ対策実施状況等を共有
・都のPRシートやカーボンレポートの活用</t>
  </si>
  <si>
    <t>温度計を設置し､実際の室温の把握と設定温度を調整</t>
  </si>
  <si>
    <t>センサー付近の温度ムラの確認､解消</t>
  </si>
  <si>
    <t>空調室外機の設置状態を点検､改善（例：日よけ､ショートサーキット防止等）</t>
  </si>
  <si>
    <t>熱源機の冷温水出口温度を中間期に2～3℃緩和（例：冷水温度が夏季7℃の場合､中間期は9℃等）</t>
  </si>
  <si>
    <t>空調負荷に応じた熱源機器の運転パターンの把握､調整</t>
  </si>
  <si>
    <t>空気比を適正に管理､基準空気比以下となるように調整（基準空気比の例：1.25-1.4）</t>
  </si>
  <si>
    <t>空調負荷に応じた空調２次ポンプの運転パターンの把握､調整</t>
  </si>
  <si>
    <t>冷温水､蒸気の配管､バルブ､フランジ部の保温状態のチェック､改善</t>
  </si>
  <si>
    <t>定期的に点検､補修</t>
  </si>
  <si>
    <t>・外気を活用して中間期､冬季の冷房負荷を低減
・熱源停止や扉､窓開放ルールの設定､周知､点検</t>
  </si>
  <si>
    <t>・夜間､早朝の外気を活用して冷房負荷を低減
・外気取入れルールの設定､周知､点検</t>
  </si>
  <si>
    <t>定期的な保守､点検</t>
  </si>
  <si>
    <t>消灯ルールの設定､周知､点検</t>
  </si>
  <si>
    <t>始業時間前の点灯時間､範囲等に関するルールの設定､周知､点検</t>
  </si>
  <si>
    <t>消灯ルールの設定､周知､点検（必要なエリアのみ再点灯）</t>
  </si>
  <si>
    <t>ルールの設定､周知､点検</t>
  </si>
  <si>
    <t>台数削減､複合機の採用</t>
  </si>
  <si>
    <t>ルールの設定､周知､点検（例：夏季日中や冬季帰宅時は閉）</t>
  </si>
  <si>
    <t>反射防止ルーバーを撤去して､必要照度を確保できる範囲で間引き</t>
  </si>
  <si>
    <t>消灯､最新機種への更新（例：ヒートポンプ方式等の省エネ技術が採用されている機種に更新）</t>
  </si>
  <si>
    <t>冬季以外停止､加温時の設定温度「低」､ふた閉め</t>
  </si>
  <si>
    <t>※ 上記削減効果は推計値であり、その結果を保証するものではありません。
※ コスト削減推計には、2017年12月時点での税込価格を使用しています。
　　（電力：17.22円/kWh　都市ガス：106.48円/㎥　重油(A)：74.3円/L）</t>
    <rPh sb="2" eb="4">
      <t>ジョウキ</t>
    </rPh>
    <rPh sb="4" eb="6">
      <t>サクゲン</t>
    </rPh>
    <rPh sb="6" eb="8">
      <t>コウカ</t>
    </rPh>
    <rPh sb="9" eb="12">
      <t>スイケイチ</t>
    </rPh>
    <rPh sb="18" eb="20">
      <t>ケッカ</t>
    </rPh>
    <rPh sb="21" eb="23">
      <t>ホショウ</t>
    </rPh>
    <rPh sb="60" eb="62">
      <t>ゼイコミ</t>
    </rPh>
    <rPh sb="62" eb="64">
      <t>カカク</t>
    </rPh>
    <phoneticPr fontId="4"/>
  </si>
  <si>
    <t>■ 熱源・パッケージ・駐車場 適用範囲補正係数</t>
    <rPh sb="2" eb="4">
      <t>ネツゲン</t>
    </rPh>
    <rPh sb="11" eb="14">
      <t>チュウシャジョウ</t>
    </rPh>
    <rPh sb="15" eb="23">
      <t>テキヨウハンイホセイケイスウ</t>
    </rPh>
    <phoneticPr fontId="4"/>
  </si>
  <si>
    <t>トップ認定基準1区分</t>
    <rPh sb="3" eb="5">
      <t>ニンテイ</t>
    </rPh>
    <rPh sb="5" eb="7">
      <t>キジュン</t>
    </rPh>
    <rPh sb="8" eb="10">
      <t>クブン</t>
    </rPh>
    <phoneticPr fontId="1"/>
  </si>
  <si>
    <t>パッケージ形空調機の省エネチューニングの実施
省エネ率の50％とした。（対策25と割り振った）</t>
    <rPh sb="23" eb="24">
      <t>ショウ</t>
    </rPh>
    <rPh sb="26" eb="27">
      <t>リツ</t>
    </rPh>
    <rPh sb="36" eb="38">
      <t>タイサク</t>
    </rPh>
    <rPh sb="41" eb="42">
      <t>ワ</t>
    </rPh>
    <rPh sb="43" eb="44">
      <t>フ</t>
    </rPh>
    <phoneticPr fontId="35"/>
  </si>
  <si>
    <t>■</t>
    <phoneticPr fontId="4"/>
  </si>
  <si>
    <t>kWh</t>
    <phoneticPr fontId="4"/>
  </si>
  <si>
    <t>【修正内容】(12/21電話に12/22都メモ追記)</t>
    <rPh sb="1" eb="3">
      <t>シュウセイ</t>
    </rPh>
    <rPh sb="3" eb="5">
      <t>ナイヨウ</t>
    </rPh>
    <rPh sb="12" eb="14">
      <t>デンワ</t>
    </rPh>
    <rPh sb="20" eb="21">
      <t>ト</t>
    </rPh>
    <rPh sb="23" eb="25">
      <t>ツイキ</t>
    </rPh>
    <phoneticPr fontId="4"/>
  </si>
  <si>
    <t>・入力シートを2つに分ける（①事業所概要、②対策チェック）</t>
    <rPh sb="1" eb="3">
      <t>ニュウリョク</t>
    </rPh>
    <rPh sb="10" eb="11">
      <t>ワ</t>
    </rPh>
    <rPh sb="15" eb="18">
      <t>ジギョウショ</t>
    </rPh>
    <rPh sb="18" eb="20">
      <t>ガイヨウ</t>
    </rPh>
    <rPh sb="22" eb="24">
      <t>タイサク</t>
    </rPh>
    <phoneticPr fontId="4"/>
  </si>
  <si>
    <t>・①のイメージは左記</t>
    <rPh sb="8" eb="10">
      <t>サキ</t>
    </rPh>
    <phoneticPr fontId="4"/>
  </si>
  <si>
    <t>・エネ使用量と延べ床面積から排出原単位を算出して、ベンチマークとの比較をする。</t>
    <rPh sb="3" eb="5">
      <t>シヨウ</t>
    </rPh>
    <rPh sb="5" eb="6">
      <t>リョウ</t>
    </rPh>
    <rPh sb="7" eb="8">
      <t>ノ</t>
    </rPh>
    <rPh sb="9" eb="12">
      <t>ユカメンセキ</t>
    </rPh>
    <rPh sb="14" eb="16">
      <t>ハイシュツ</t>
    </rPh>
    <rPh sb="16" eb="19">
      <t>ゲンタンイ</t>
    </rPh>
    <rPh sb="20" eb="22">
      <t>サンシュツ</t>
    </rPh>
    <rPh sb="33" eb="35">
      <t>ヒカク</t>
    </rPh>
    <phoneticPr fontId="4"/>
  </si>
  <si>
    <t>・ベンチマークに対する削減余地を年間電気料金に乗じた値を削減金額として表示する。</t>
    <rPh sb="8" eb="9">
      <t>タイ</t>
    </rPh>
    <rPh sb="11" eb="13">
      <t>サクゲン</t>
    </rPh>
    <rPh sb="13" eb="15">
      <t>ヨチ</t>
    </rPh>
    <rPh sb="16" eb="18">
      <t>ネンカン</t>
    </rPh>
    <rPh sb="18" eb="20">
      <t>デンキ</t>
    </rPh>
    <rPh sb="20" eb="22">
      <t>リョウキン</t>
    </rPh>
    <rPh sb="23" eb="24">
      <t>ジョウ</t>
    </rPh>
    <rPh sb="26" eb="27">
      <t>アタイ</t>
    </rPh>
    <rPh sb="28" eb="30">
      <t>サクゲン</t>
    </rPh>
    <rPh sb="30" eb="32">
      <t>キンガク</t>
    </rPh>
    <rPh sb="35" eb="37">
      <t>ヒョウジ</t>
    </rPh>
    <phoneticPr fontId="4"/>
  </si>
  <si>
    <t>　削減率＝（原単位ーベンチマーク）÷原単位</t>
    <rPh sb="1" eb="3">
      <t>サクゲン</t>
    </rPh>
    <rPh sb="3" eb="4">
      <t>リツ</t>
    </rPh>
    <rPh sb="6" eb="9">
      <t>ゲンタンイ</t>
    </rPh>
    <rPh sb="18" eb="21">
      <t>ゲンタンイ</t>
    </rPh>
    <phoneticPr fontId="4"/>
  </si>
  <si>
    <t>　※電機以外のエネルギー料金は削減金額に加味されないが、それでよい。</t>
    <rPh sb="2" eb="4">
      <t>デンキ</t>
    </rPh>
    <rPh sb="4" eb="6">
      <t>イガイ</t>
    </rPh>
    <rPh sb="12" eb="14">
      <t>リョウキン</t>
    </rPh>
    <rPh sb="15" eb="17">
      <t>サクゲン</t>
    </rPh>
    <rPh sb="17" eb="19">
      <t>キンガク</t>
    </rPh>
    <rPh sb="20" eb="22">
      <t>カミ</t>
    </rPh>
    <phoneticPr fontId="4"/>
  </si>
  <si>
    <t>・そのため、ツール全体では、削減率が2種類算出される（ベンチマークとの差分、対策実施状況の積み上げ）</t>
    <rPh sb="9" eb="11">
      <t>ゼンタイ</t>
    </rPh>
    <rPh sb="14" eb="16">
      <t>サクゲン</t>
    </rPh>
    <rPh sb="16" eb="17">
      <t>リツ</t>
    </rPh>
    <rPh sb="19" eb="21">
      <t>シュルイ</t>
    </rPh>
    <rPh sb="21" eb="23">
      <t>サンシュツ</t>
    </rPh>
    <rPh sb="35" eb="37">
      <t>サブン</t>
    </rPh>
    <rPh sb="38" eb="40">
      <t>タイサク</t>
    </rPh>
    <rPh sb="40" eb="42">
      <t>ジッシ</t>
    </rPh>
    <rPh sb="42" eb="44">
      <t>ジョウキョウ</t>
    </rPh>
    <rPh sb="45" eb="46">
      <t>ツ</t>
    </rPh>
    <rPh sb="47" eb="48">
      <t>ア</t>
    </rPh>
    <phoneticPr fontId="4"/>
  </si>
  <si>
    <t>・事務所のベンチマークは、テナントビル（オフィス系）を規模に分ける。</t>
    <rPh sb="1" eb="3">
      <t>ジム</t>
    </rPh>
    <rPh sb="3" eb="4">
      <t>ショ</t>
    </rPh>
    <rPh sb="24" eb="25">
      <t>ケイ</t>
    </rPh>
    <rPh sb="27" eb="29">
      <t>キボ</t>
    </rPh>
    <rPh sb="30" eb="31">
      <t>ワ</t>
    </rPh>
    <phoneticPr fontId="4"/>
  </si>
  <si>
    <t>　（「【新規】低炭素ＢＭ」シートの3(1)～3(3)から自動選択する。</t>
    <rPh sb="28" eb="30">
      <t>ジドウ</t>
    </rPh>
    <rPh sb="30" eb="32">
      <t>センタク</t>
    </rPh>
    <phoneticPr fontId="4"/>
  </si>
  <si>
    <t>・商業のベンチマークは、「物販店（総合スーパー・百貨店）」の値を使う。</t>
    <rPh sb="1" eb="3">
      <t>ショウギョウ</t>
    </rPh>
    <rPh sb="30" eb="31">
      <t>アタイ</t>
    </rPh>
    <rPh sb="32" eb="33">
      <t>ツカ</t>
    </rPh>
    <phoneticPr fontId="4"/>
  </si>
  <si>
    <t>・ホテル、学校、病院のベンチマークはそれぞれ該当するものを使う。</t>
    <rPh sb="5" eb="7">
      <t>ガッコウ</t>
    </rPh>
    <rPh sb="8" eb="10">
      <t>ビョウイン</t>
    </rPh>
    <rPh sb="22" eb="24">
      <t>ガイトウ</t>
    </rPh>
    <rPh sb="29" eb="30">
      <t>ツカ</t>
    </rPh>
    <phoneticPr fontId="4"/>
  </si>
  <si>
    <t>・ベンチマークの平均値と比較し、原単位が平均よりも低い場合は</t>
    <rPh sb="8" eb="11">
      <t>ヘイキンチ</t>
    </rPh>
    <rPh sb="12" eb="14">
      <t>ヒカク</t>
    </rPh>
    <rPh sb="16" eb="19">
      <t>ゲンタンイ</t>
    </rPh>
    <rPh sb="20" eb="22">
      <t>ヘイキン</t>
    </rPh>
    <rPh sb="25" eb="26">
      <t>ヒク</t>
    </rPh>
    <rPh sb="27" eb="29">
      <t>バアイ</t>
    </rPh>
    <phoneticPr fontId="4"/>
  </si>
  <si>
    <t>　などのコメントを表示させる。</t>
    <rPh sb="9" eb="11">
      <t>ヒョウジ</t>
    </rPh>
    <phoneticPr fontId="4"/>
  </si>
  <si>
    <t>・重要項目について、星印等で目立たせる。「特に重要な項目なので、星印を優先して点検を進めてください。」などのコメントを挿入</t>
    <phoneticPr fontId="4"/>
  </si>
  <si>
    <t>・省エネポテンシャルシート、金合計金額は表題の横で目立たせる。</t>
    <phoneticPr fontId="4"/>
  </si>
  <si>
    <t>・同上、個別の対策種別の削減率の上にも金額を挿入</t>
    <phoneticPr fontId="4"/>
  </si>
  <si>
    <t>重要
項目</t>
    <rPh sb="0" eb="2">
      <t>ジュウヨウ</t>
    </rPh>
    <rPh sb="3" eb="5">
      <t>コウモク</t>
    </rPh>
    <phoneticPr fontId="4"/>
  </si>
  <si>
    <t>コスト</t>
    <phoneticPr fontId="4"/>
  </si>
  <si>
    <t>区分No.</t>
    <rPh sb="0" eb="2">
      <t>クブン</t>
    </rPh>
    <phoneticPr fontId="4"/>
  </si>
  <si>
    <t>3(1)</t>
    <phoneticPr fontId="4"/>
  </si>
  <si>
    <t>3(2)</t>
    <phoneticPr fontId="4"/>
  </si>
  <si>
    <t>3(3)</t>
    <phoneticPr fontId="4"/>
  </si>
  <si>
    <t>テナントビル（オフィス系、小規模）</t>
    <rPh sb="11" eb="12">
      <t>ケイ</t>
    </rPh>
    <rPh sb="13" eb="16">
      <t>ショウキボ</t>
    </rPh>
    <phoneticPr fontId="4"/>
  </si>
  <si>
    <t>テナントビル（オフィス系、準大規模）</t>
    <rPh sb="11" eb="12">
      <t>ケイ</t>
    </rPh>
    <rPh sb="13" eb="14">
      <t>ジュン</t>
    </rPh>
    <rPh sb="14" eb="17">
      <t>ダイキボ</t>
    </rPh>
    <phoneticPr fontId="4"/>
  </si>
  <si>
    <t>区分名</t>
    <rPh sb="0" eb="2">
      <t>クブン</t>
    </rPh>
    <rPh sb="2" eb="3">
      <t>メイ</t>
    </rPh>
    <phoneticPr fontId="4"/>
  </si>
  <si>
    <t>平均原単位</t>
    <rPh sb="0" eb="2">
      <t>ヘイキン</t>
    </rPh>
    <rPh sb="2" eb="5">
      <t>ゲンタンイ</t>
    </rPh>
    <phoneticPr fontId="4"/>
  </si>
  <si>
    <t>該当</t>
    <rPh sb="0" eb="2">
      <t>ガイトウ</t>
    </rPh>
    <phoneticPr fontId="4"/>
  </si>
  <si>
    <t>延べ床面積（㎡）</t>
    <rPh sb="0" eb="1">
      <t>ノ</t>
    </rPh>
    <rPh sb="2" eb="5">
      <t>ユカメンセキ</t>
    </rPh>
    <phoneticPr fontId="4"/>
  </si>
  <si>
    <t>原単位値が大きい（＋１以上）</t>
    <rPh sb="0" eb="3">
      <t>ゲンタンイ</t>
    </rPh>
    <rPh sb="3" eb="4">
      <t>チ</t>
    </rPh>
    <rPh sb="5" eb="6">
      <t>オオ</t>
    </rPh>
    <rPh sb="11" eb="13">
      <t>イジョウ</t>
    </rPh>
    <phoneticPr fontId="4"/>
  </si>
  <si>
    <t>原単位値が同等（±1未満）</t>
    <rPh sb="0" eb="3">
      <t>ゲンタンイ</t>
    </rPh>
    <rPh sb="3" eb="4">
      <t>チ</t>
    </rPh>
    <rPh sb="5" eb="7">
      <t>ドウトウ</t>
    </rPh>
    <rPh sb="10" eb="12">
      <t>ミマン</t>
    </rPh>
    <phoneticPr fontId="4"/>
  </si>
  <si>
    <t>原単位値が小さい（ー１以上）</t>
    <rPh sb="0" eb="3">
      <t>ゲンタンイ</t>
    </rPh>
    <rPh sb="3" eb="4">
      <t>チ</t>
    </rPh>
    <rPh sb="5" eb="6">
      <t>チイ</t>
    </rPh>
    <rPh sb="11" eb="13">
      <t>イジョウ</t>
    </rPh>
    <phoneticPr fontId="4"/>
  </si>
  <si>
    <t>　「平均以上でしっかりと取組されてます。一段階上のレンジを目指し対策を進めましょう。」</t>
    <phoneticPr fontId="4"/>
  </si>
  <si>
    <t>※ 低炭素ベンチマークについての詳細は、以下のURLを参照してください。
　　http://www8.kankyo.metro.tokyo.jp/ondanka/benchmark/index.html</t>
    <rPh sb="2" eb="5">
      <t>テイタンソ</t>
    </rPh>
    <rPh sb="16" eb="18">
      <t>ショウサイ</t>
    </rPh>
    <rPh sb="20" eb="22">
      <t>イカ</t>
    </rPh>
    <rPh sb="27" eb="29">
      <t>サンショウ</t>
    </rPh>
    <phoneticPr fontId="4"/>
  </si>
  <si>
    <t>■低炭素ベンチマーク平均値</t>
    <rPh sb="1" eb="4">
      <t>テイタンソ</t>
    </rPh>
    <rPh sb="10" eb="13">
      <t>ヘイキンチ</t>
    </rPh>
    <phoneticPr fontId="4"/>
  </si>
  <si>
    <t>■判定コメント</t>
    <rPh sb="1" eb="3">
      <t>ハンテイ</t>
    </rPh>
    <phoneticPr fontId="4"/>
  </si>
  <si>
    <t>■コスト試算（ベンチマーク平均値と比較）</t>
    <rPh sb="4" eb="6">
      <t>シサン</t>
    </rPh>
    <rPh sb="13" eb="16">
      <t>ヘイキンチ</t>
    </rPh>
    <rPh sb="17" eb="19">
      <t>ヒカク</t>
    </rPh>
    <phoneticPr fontId="4"/>
  </si>
  <si>
    <t>必要流量に応じてバルブやインバータにより流量を調整</t>
  </si>
  <si>
    <t>必要風量に応じてダンパやインバータにより風量を調整</t>
  </si>
  <si>
    <t>空調スイッチ付近に空調範囲図､オン・オフのルールを表示</t>
    <phoneticPr fontId="4"/>
  </si>
  <si>
    <t>空調の範囲、オン・オフのルールを明確化</t>
    <phoneticPr fontId="4"/>
  </si>
  <si>
    <t>オン・オフするルールの設定､周知､点検</t>
    <phoneticPr fontId="4"/>
  </si>
  <si>
    <t>低炭素ベンチマーク  削減余地等計算シート</t>
    <rPh sb="0" eb="3">
      <t>テイタンソ</t>
    </rPh>
    <phoneticPr fontId="4"/>
  </si>
  <si>
    <t>事業所の延べ床面積</t>
    <rPh sb="0" eb="3">
      <t>ジギョウショ</t>
    </rPh>
    <rPh sb="4" eb="5">
      <t>ノ</t>
    </rPh>
    <rPh sb="6" eb="9">
      <t>ユカメンセキ</t>
    </rPh>
    <phoneticPr fontId="4"/>
  </si>
  <si>
    <r>
      <t>m</t>
    </r>
    <r>
      <rPr>
        <vertAlign val="superscript"/>
        <sz val="12.65"/>
        <color theme="1"/>
        <rFont val="Meiryo UI"/>
        <family val="3"/>
        <charset val="128"/>
      </rPr>
      <t>2</t>
    </r>
    <phoneticPr fontId="4"/>
  </si>
  <si>
    <t>比較対象値</t>
    <rPh sb="0" eb="2">
      <t>ヒカク</t>
    </rPh>
    <rPh sb="2" eb="4">
      <t>タイショウ</t>
    </rPh>
    <rPh sb="4" eb="5">
      <t>チ</t>
    </rPh>
    <phoneticPr fontId="4"/>
  </si>
  <si>
    <t>★入力方法：</t>
    <phoneticPr fontId="4"/>
  </si>
  <si>
    <t>貴事業所の原単位</t>
    <rPh sb="0" eb="1">
      <t>キ</t>
    </rPh>
    <rPh sb="1" eb="4">
      <t>ジギョウショ</t>
    </rPh>
    <rPh sb="5" eb="8">
      <t>ゲンタンイ</t>
    </rPh>
    <phoneticPr fontId="4"/>
  </si>
  <si>
    <t>7</t>
    <phoneticPr fontId="4"/>
  </si>
  <si>
    <t>19</t>
    <phoneticPr fontId="4"/>
  </si>
  <si>
    <t>20</t>
    <phoneticPr fontId="4"/>
  </si>
  <si>
    <t>21</t>
    <phoneticPr fontId="4"/>
  </si>
  <si>
    <t>物販店（総合スーパー・百貨店）</t>
    <rPh sb="0" eb="3">
      <t>ブッパンテン</t>
    </rPh>
    <rPh sb="4" eb="6">
      <t>ソウゴウ</t>
    </rPh>
    <rPh sb="11" eb="14">
      <t>ヒャッカテン</t>
    </rPh>
    <phoneticPr fontId="4"/>
  </si>
  <si>
    <t>旅館・ホテル</t>
    <rPh sb="0" eb="2">
      <t>リョカン</t>
    </rPh>
    <phoneticPr fontId="4"/>
  </si>
  <si>
    <t>学校・教育施設</t>
    <rPh sb="0" eb="2">
      <t>ガッコウ</t>
    </rPh>
    <rPh sb="3" eb="5">
      <t>キョウイク</t>
    </rPh>
    <rPh sb="5" eb="7">
      <t>シセツ</t>
    </rPh>
    <phoneticPr fontId="4"/>
  </si>
  <si>
    <t>病院・診療所</t>
    <rPh sb="0" eb="2">
      <t>ビョウイン</t>
    </rPh>
    <rPh sb="3" eb="6">
      <t>シンリョウジョ</t>
    </rPh>
    <phoneticPr fontId="4"/>
  </si>
  <si>
    <t>デスクライトの活用</t>
  </si>
  <si>
    <t>室全体の照度を引下げ､デスクライト等により作業面の照度を確保（タスクアンビエント方式）</t>
  </si>
  <si>
    <t>重要項目</t>
    <rPh sb="0" eb="2">
      <t>ジュウヨウ</t>
    </rPh>
    <rPh sb="2" eb="4">
      <t>コウモク</t>
    </rPh>
    <phoneticPr fontId="4"/>
  </si>
  <si>
    <t>○</t>
    <phoneticPr fontId="4"/>
  </si>
  <si>
    <r>
      <t>※ 本シートにおける削減効果（CO</t>
    </r>
    <r>
      <rPr>
        <b/>
        <vertAlign val="subscript"/>
        <sz val="14"/>
        <rFont val="Meiryo UI"/>
        <family val="3"/>
        <charset val="128"/>
      </rPr>
      <t>2</t>
    </r>
    <r>
      <rPr>
        <b/>
        <sz val="14"/>
        <rFont val="Meiryo UI"/>
        <family val="3"/>
        <charset val="128"/>
      </rPr>
      <t>排出量及びコスト）は推計値であり、その結果を保証するものではありません。</t>
    </r>
    <rPh sb="2" eb="3">
      <t>ホン</t>
    </rPh>
    <rPh sb="18" eb="20">
      <t>ハイシュツ</t>
    </rPh>
    <rPh sb="20" eb="21">
      <t>リョウ</t>
    </rPh>
    <rPh sb="21" eb="22">
      <t>オヨ</t>
    </rPh>
    <phoneticPr fontId="4"/>
  </si>
  <si>
    <t>年間電気使用料金</t>
    <rPh sb="0" eb="2">
      <t>ネンカン</t>
    </rPh>
    <rPh sb="2" eb="4">
      <t>デンキ</t>
    </rPh>
    <rPh sb="4" eb="6">
      <t>シヨウ</t>
    </rPh>
    <rPh sb="6" eb="8">
      <t>リョウキン</t>
    </rPh>
    <phoneticPr fontId="4"/>
  </si>
  <si>
    <t>年間電気料金（円）</t>
    <rPh sb="0" eb="2">
      <t>ネンカン</t>
    </rPh>
    <rPh sb="2" eb="4">
      <t>デンキ</t>
    </rPh>
    <rPh sb="4" eb="6">
      <t>リョウキン</t>
    </rPh>
    <rPh sb="7" eb="8">
      <t>エン</t>
    </rPh>
    <phoneticPr fontId="4"/>
  </si>
  <si>
    <t>電力量（ｋWh)</t>
    <rPh sb="0" eb="2">
      <t>デンリョク</t>
    </rPh>
    <rPh sb="2" eb="3">
      <t>リョウ</t>
    </rPh>
    <phoneticPr fontId="4"/>
  </si>
  <si>
    <t>全体差分（面積を掛ける）</t>
    <rPh sb="0" eb="2">
      <t>ゼンタイ</t>
    </rPh>
    <rPh sb="2" eb="4">
      <t>サブン</t>
    </rPh>
    <rPh sb="5" eb="7">
      <t>メンセキ</t>
    </rPh>
    <rPh sb="8" eb="9">
      <t>カ</t>
    </rPh>
    <phoneticPr fontId="4"/>
  </si>
  <si>
    <t>単位電力量当たり価格(事業所）</t>
    <rPh sb="0" eb="2">
      <t>タンイ</t>
    </rPh>
    <rPh sb="2" eb="4">
      <t>デンリョク</t>
    </rPh>
    <rPh sb="4" eb="5">
      <t>リョウ</t>
    </rPh>
    <rPh sb="5" eb="6">
      <t>ア</t>
    </rPh>
    <rPh sb="8" eb="10">
      <t>カカク</t>
    </rPh>
    <rPh sb="11" eb="14">
      <t>ジギョウショ</t>
    </rPh>
    <phoneticPr fontId="4"/>
  </si>
  <si>
    <t>※ 入力用シート①に記入した年間電気料金を基準にした場合(こちらを優先）</t>
    <rPh sb="2" eb="5">
      <t>ニュウリョクヨウ</t>
    </rPh>
    <rPh sb="10" eb="12">
      <t>キニュウ</t>
    </rPh>
    <rPh sb="14" eb="16">
      <t>ネンカン</t>
    </rPh>
    <rPh sb="16" eb="18">
      <t>デンキ</t>
    </rPh>
    <rPh sb="18" eb="20">
      <t>リョウキン</t>
    </rPh>
    <rPh sb="21" eb="23">
      <t>キジュン</t>
    </rPh>
    <rPh sb="26" eb="28">
      <t>バアイ</t>
    </rPh>
    <rPh sb="33" eb="35">
      <t>ユウセン</t>
    </rPh>
    <phoneticPr fontId="4"/>
  </si>
  <si>
    <t>kg/㎡</t>
    <phoneticPr fontId="4"/>
  </si>
  <si>
    <t>t-CO2</t>
    <phoneticPr fontId="4"/>
  </si>
  <si>
    <t>CO2 1t当たり単価（事業所）</t>
    <rPh sb="6" eb="7">
      <t>ア</t>
    </rPh>
    <rPh sb="9" eb="11">
      <t>タンカ</t>
    </rPh>
    <rPh sb="12" eb="15">
      <t>ジギョウショ</t>
    </rPh>
    <phoneticPr fontId="4"/>
  </si>
  <si>
    <t>延床面積</t>
    <rPh sb="0" eb="4">
      <t>ノベユカメンセキ</t>
    </rPh>
    <phoneticPr fontId="4"/>
  </si>
  <si>
    <t>㎡</t>
    <phoneticPr fontId="4"/>
  </si>
  <si>
    <t>原単位差分</t>
    <rPh sb="0" eb="3">
      <t>ゲンタンイ</t>
    </rPh>
    <rPh sb="3" eb="5">
      <t>サブン</t>
    </rPh>
    <phoneticPr fontId="4"/>
  </si>
  <si>
    <t>試算①</t>
    <rPh sb="0" eb="2">
      <t>シサン</t>
    </rPh>
    <phoneticPr fontId="4"/>
  </si>
  <si>
    <t>試算②</t>
    <rPh sb="0" eb="2">
      <t>シサン</t>
    </rPh>
    <phoneticPr fontId="4"/>
  </si>
  <si>
    <t>※ 実施状況（No.11以降）は、以下を目安に入力してください。</t>
    <rPh sb="2" eb="4">
      <t>ジッシ</t>
    </rPh>
    <rPh sb="4" eb="6">
      <t>ジョウキョウ</t>
    </rPh>
    <rPh sb="12" eb="14">
      <t>イコウ</t>
    </rPh>
    <rPh sb="17" eb="19">
      <t>イカ</t>
    </rPh>
    <rPh sb="20" eb="22">
      <t>メヤス</t>
    </rPh>
    <rPh sb="23" eb="25">
      <t>ニュウリョク</t>
    </rPh>
    <phoneticPr fontId="4"/>
  </si>
  <si>
    <t>10％以上50％未満で実施</t>
    <rPh sb="3" eb="5">
      <t>イジョウ</t>
    </rPh>
    <rPh sb="8" eb="10">
      <t>ミマン</t>
    </rPh>
    <rPh sb="11" eb="13">
      <t>ジッシ</t>
    </rPh>
    <phoneticPr fontId="4"/>
  </si>
  <si>
    <t>10％未満で実施</t>
    <rPh sb="3" eb="5">
      <t>ミマン</t>
    </rPh>
    <phoneticPr fontId="4"/>
  </si>
  <si>
    <t>90％以上で実施</t>
    <rPh sb="3" eb="5">
      <t>イジョウ</t>
    </rPh>
    <rPh sb="6" eb="8">
      <t>ジッシ</t>
    </rPh>
    <phoneticPr fontId="4"/>
  </si>
  <si>
    <t>50％以上90％未満で実施</t>
    <phoneticPr fontId="4"/>
  </si>
  <si>
    <t>該当設備なし、又は設備仕様上の理由で対策実施不可等</t>
    <rPh sb="0" eb="2">
      <t>ガイトウ</t>
    </rPh>
    <rPh sb="2" eb="4">
      <t>セツビ</t>
    </rPh>
    <rPh sb="7" eb="8">
      <t>マタ</t>
    </rPh>
    <rPh sb="9" eb="11">
      <t>セツビ</t>
    </rPh>
    <rPh sb="11" eb="13">
      <t>シヨウ</t>
    </rPh>
    <rPh sb="13" eb="14">
      <t>ジョウ</t>
    </rPh>
    <rPh sb="15" eb="17">
      <t>リユウ</t>
    </rPh>
    <rPh sb="18" eb="20">
      <t>タイサク</t>
    </rPh>
    <rPh sb="20" eb="22">
      <t>ジッシ</t>
    </rPh>
    <rPh sb="22" eb="24">
      <t>フカ</t>
    </rPh>
    <rPh sb="24" eb="25">
      <t>トウ</t>
    </rPh>
    <phoneticPr fontId="4"/>
  </si>
  <si>
    <t>重　油(A)</t>
    <rPh sb="0" eb="1">
      <t>ジュウ</t>
    </rPh>
    <rPh sb="2" eb="3">
      <t>アブラ</t>
    </rPh>
    <phoneticPr fontId="4"/>
  </si>
  <si>
    <t>【ベンチマーク比較シート】　</t>
    <rPh sb="7" eb="9">
      <t>ヒカク</t>
    </rPh>
    <phoneticPr fontId="4"/>
  </si>
  <si>
    <t>【対策チェックシート】</t>
    <rPh sb="1" eb="3">
      <t>タイサク</t>
    </rPh>
    <phoneticPr fontId="4"/>
  </si>
  <si>
    <r>
      <rPr>
        <b/>
        <sz val="11"/>
        <color rgb="FFFFFF99"/>
        <rFont val="Meiryo UI"/>
        <family val="3"/>
        <charset val="128"/>
      </rPr>
      <t>黄色のセル■</t>
    </r>
    <r>
      <rPr>
        <b/>
        <sz val="11"/>
        <color theme="0"/>
        <rFont val="Meiryo UI"/>
        <family val="3"/>
        <charset val="128"/>
      </rPr>
      <t>に、必要な情報や数値を入力、または実施状況をプルダウンで選択してください。
（※該当設備がない場合は「該当なし」を選択）【省エネポテンシャルシート】に貴事業所の削減余地等が表示されます。</t>
    </r>
    <rPh sb="0" eb="2">
      <t>キイロ</t>
    </rPh>
    <rPh sb="8" eb="10">
      <t>ヒツヨウ</t>
    </rPh>
    <rPh sb="11" eb="13">
      <t>ジョウホウ</t>
    </rPh>
    <rPh sb="14" eb="16">
      <t>スウチ</t>
    </rPh>
    <rPh sb="17" eb="19">
      <t>ニュウリョク</t>
    </rPh>
    <rPh sb="23" eb="25">
      <t>ジッシ</t>
    </rPh>
    <rPh sb="25" eb="27">
      <t>ジョウキョウ</t>
    </rPh>
    <rPh sb="34" eb="36">
      <t>センタク</t>
    </rPh>
    <rPh sb="46" eb="48">
      <t>ガイトウ</t>
    </rPh>
    <rPh sb="48" eb="50">
      <t>セツビ</t>
    </rPh>
    <rPh sb="53" eb="55">
      <t>バアイ</t>
    </rPh>
    <rPh sb="57" eb="59">
      <t>ガイトウ</t>
    </rPh>
    <rPh sb="63" eb="65">
      <t>センタク</t>
    </rPh>
    <rPh sb="67" eb="68">
      <t>ショウ</t>
    </rPh>
    <rPh sb="81" eb="82">
      <t>キ</t>
    </rPh>
    <rPh sb="82" eb="85">
      <t>ジギョウショ</t>
    </rPh>
    <rPh sb="86" eb="88">
      <t>サクゲン</t>
    </rPh>
    <rPh sb="88" eb="90">
      <t>ヨチ</t>
    </rPh>
    <rPh sb="90" eb="91">
      <t>トウ</t>
    </rPh>
    <rPh sb="92" eb="94">
      <t>ヒョウジ</t>
    </rPh>
    <phoneticPr fontId="4"/>
  </si>
  <si>
    <t>単位電力量当たり価格(固定値）</t>
    <rPh sb="0" eb="2">
      <t>タンイ</t>
    </rPh>
    <rPh sb="2" eb="4">
      <t>デンリョク</t>
    </rPh>
    <rPh sb="4" eb="5">
      <t>リョウ</t>
    </rPh>
    <rPh sb="5" eb="6">
      <t>ア</t>
    </rPh>
    <rPh sb="8" eb="10">
      <t>カカク</t>
    </rPh>
    <rPh sb="11" eb="14">
      <t>コテイチ</t>
    </rPh>
    <phoneticPr fontId="4"/>
  </si>
  <si>
    <t>差分電力推計</t>
    <rPh sb="0" eb="2">
      <t>サブン</t>
    </rPh>
    <rPh sb="2" eb="4">
      <t>デンリョク</t>
    </rPh>
    <rPh sb="4" eb="6">
      <t>スイケイ</t>
    </rPh>
    <phoneticPr fontId="4"/>
  </si>
  <si>
    <t>kWh</t>
    <phoneticPr fontId="4"/>
  </si>
  <si>
    <t>円</t>
    <rPh sb="0" eb="1">
      <t>エン</t>
    </rPh>
    <phoneticPr fontId="4"/>
  </si>
  <si>
    <t>コスト推計②</t>
    <rPh sb="3" eb="5">
      <t>スイケイ</t>
    </rPh>
    <phoneticPr fontId="4"/>
  </si>
  <si>
    <t>コスト推計①</t>
    <rPh sb="3" eb="5">
      <t>スイケイ</t>
    </rPh>
    <phoneticPr fontId="4"/>
  </si>
  <si>
    <t>※ 原単位の差分に事業所固有のCO2排出量1t当たりのコスト(電気以外の燃料含む)をかけた場合</t>
    <rPh sb="2" eb="5">
      <t>ゲンタンイ</t>
    </rPh>
    <rPh sb="6" eb="8">
      <t>サブン</t>
    </rPh>
    <rPh sb="9" eb="12">
      <t>ジギョウショ</t>
    </rPh>
    <rPh sb="12" eb="14">
      <t>コユウ</t>
    </rPh>
    <rPh sb="18" eb="20">
      <t>ハイシュツ</t>
    </rPh>
    <rPh sb="20" eb="21">
      <t>リョウ</t>
    </rPh>
    <rPh sb="23" eb="24">
      <t>ア</t>
    </rPh>
    <rPh sb="31" eb="33">
      <t>デンキ</t>
    </rPh>
    <rPh sb="33" eb="35">
      <t>イガイ</t>
    </rPh>
    <rPh sb="36" eb="38">
      <t>ネンリョウ</t>
    </rPh>
    <rPh sb="38" eb="39">
      <t>フク</t>
    </rPh>
    <rPh sb="45" eb="47">
      <t>バアイ</t>
    </rPh>
    <phoneticPr fontId="4"/>
  </si>
  <si>
    <t>採用値</t>
    <rPh sb="0" eb="2">
      <t>サイヨウ</t>
    </rPh>
    <rPh sb="2" eb="3">
      <t>チ</t>
    </rPh>
    <phoneticPr fontId="4"/>
  </si>
  <si>
    <r>
      <rPr>
        <b/>
        <sz val="18"/>
        <color rgb="FF00B050"/>
        <rFont val="Meiryo UI"/>
        <family val="3"/>
        <charset val="128"/>
      </rPr>
      <t>★</t>
    </r>
    <r>
      <rPr>
        <sz val="12"/>
        <color theme="1"/>
        <rFont val="Meiryo UI"/>
        <family val="3"/>
        <charset val="128"/>
      </rPr>
      <t>のついた対策項目（20項目）は、優先して実施を推奨する</t>
    </r>
    <r>
      <rPr>
        <b/>
        <sz val="14"/>
        <color theme="1"/>
        <rFont val="Meiryo UI"/>
        <family val="3"/>
        <charset val="128"/>
      </rPr>
      <t>重要項目</t>
    </r>
    <r>
      <rPr>
        <sz val="12"/>
        <color theme="1"/>
        <rFont val="Meiryo UI"/>
        <family val="3"/>
        <charset val="128"/>
      </rPr>
      <t>です。</t>
    </r>
    <rPh sb="5" eb="7">
      <t>タイサク</t>
    </rPh>
    <rPh sb="7" eb="9">
      <t>コウモク</t>
    </rPh>
    <rPh sb="12" eb="14">
      <t>コウモク</t>
    </rPh>
    <rPh sb="17" eb="19">
      <t>ユウセン</t>
    </rPh>
    <rPh sb="21" eb="23">
      <t>ジッシ</t>
    </rPh>
    <rPh sb="24" eb="26">
      <t>スイショウ</t>
    </rPh>
    <rPh sb="28" eb="30">
      <t>ジュウヨウ</t>
    </rPh>
    <rPh sb="30" eb="32">
      <t>コウモク</t>
    </rPh>
    <phoneticPr fontId="4"/>
  </si>
  <si>
    <t>終業時間以降の一斉消灯</t>
    <phoneticPr fontId="4"/>
  </si>
  <si>
    <t>始業時間前の点灯範囲の制限</t>
    <phoneticPr fontId="4"/>
  </si>
  <si>
    <t>照明の消灯が可能な室の消灯に関する啓発活動・巡回点検の実施</t>
    <phoneticPr fontId="4"/>
  </si>
  <si>
    <t>時間外等の照明点灯エリアの集約化</t>
    <phoneticPr fontId="4"/>
  </si>
  <si>
    <t>照明器具の清掃及び定期的なランプ交換</t>
    <phoneticPr fontId="4"/>
  </si>
  <si>
    <t>外皮</t>
    <rPh sb="0" eb="2">
      <t>ガイヒ</t>
    </rPh>
    <phoneticPr fontId="4"/>
  </si>
  <si>
    <t>外気</t>
    <rPh sb="0" eb="2">
      <t>ガイキ</t>
    </rPh>
    <phoneticPr fontId="4"/>
  </si>
  <si>
    <t>熱負荷</t>
    <rPh sb="0" eb="1">
      <t>ネツ</t>
    </rPh>
    <rPh sb="1" eb="3">
      <t>フカ</t>
    </rPh>
    <phoneticPr fontId="4"/>
  </si>
  <si>
    <t>エネルギーシェア</t>
    <phoneticPr fontId="4"/>
  </si>
  <si>
    <t>エネルギーシェア値</t>
    <rPh sb="8" eb="9">
      <t>チ</t>
    </rPh>
    <phoneticPr fontId="4"/>
  </si>
  <si>
    <t>外皮</t>
    <rPh sb="0" eb="2">
      <t>ガイヒ</t>
    </rPh>
    <phoneticPr fontId="4"/>
  </si>
  <si>
    <t>外気</t>
    <rPh sb="0" eb="2">
      <t>ガイキ</t>
    </rPh>
    <phoneticPr fontId="4"/>
  </si>
  <si>
    <t>熱負荷</t>
    <rPh sb="0" eb="1">
      <t>ネツ</t>
    </rPh>
    <rPh sb="1" eb="3">
      <t>フカ</t>
    </rPh>
    <phoneticPr fontId="4"/>
  </si>
  <si>
    <t>トップ認定基準のエネルギーシェア区分</t>
    <rPh sb="3" eb="5">
      <t>ニンテイ</t>
    </rPh>
    <rPh sb="5" eb="7">
      <t>キジュン</t>
    </rPh>
    <rPh sb="16" eb="18">
      <t>クブン</t>
    </rPh>
    <phoneticPr fontId="4"/>
  </si>
  <si>
    <t>（参考）</t>
    <rPh sb="1" eb="3">
      <t>サンコウ</t>
    </rPh>
    <phoneticPr fontId="4"/>
  </si>
  <si>
    <t>エネルギーシェア値(%)</t>
    <rPh sb="8" eb="9">
      <t>チ</t>
    </rPh>
    <phoneticPr fontId="4"/>
  </si>
  <si>
    <t>（採用値）</t>
    <rPh sb="1" eb="3">
      <t>サイヨウ</t>
    </rPh>
    <rPh sb="3" eb="4">
      <t>チ</t>
    </rPh>
    <phoneticPr fontId="4"/>
  </si>
  <si>
    <t>経営者が削減目標及び取組方針を設定、周知</t>
    <phoneticPr fontId="4"/>
  </si>
  <si>
    <t>夏季は、運転効率のよい風量「強」や「自動」で運用</t>
    <rPh sb="0" eb="2">
      <t>カキ</t>
    </rPh>
    <phoneticPr fontId="4"/>
  </si>
  <si>
    <t>事務室の照度は500lxを目安に緩和</t>
  </si>
  <si>
    <t>日中消灯のルールの設定､周知､点検</t>
    <phoneticPr fontId="4"/>
  </si>
  <si>
    <t>夜間､休日等の勤務時間外は停止</t>
    <phoneticPr fontId="4"/>
  </si>
  <si>
    <t>サーバーの動作保証温度に合わせて設定</t>
    <rPh sb="5" eb="7">
      <t>ドウサ</t>
    </rPh>
    <rPh sb="7" eb="9">
      <t>ホショウ</t>
    </rPh>
    <phoneticPr fontId="4"/>
  </si>
  <si>
    <t>1a.11</t>
    <phoneticPr fontId="4"/>
  </si>
  <si>
    <t>※削減率補正処理（対事業所）</t>
    <rPh sb="1" eb="3">
      <t>サクゲン</t>
    </rPh>
    <rPh sb="3" eb="4">
      <t>リツ</t>
    </rPh>
    <rPh sb="4" eb="6">
      <t>ホセイ</t>
    </rPh>
    <rPh sb="6" eb="8">
      <t>ショリ</t>
    </rPh>
    <rPh sb="9" eb="10">
      <t>タイ</t>
    </rPh>
    <rPh sb="10" eb="13">
      <t>ジギョウショ</t>
    </rPh>
    <phoneticPr fontId="4"/>
  </si>
  <si>
    <t>0.1未満の削減率を0.1に切り上げ</t>
    <rPh sb="3" eb="5">
      <t>ミマン</t>
    </rPh>
    <rPh sb="6" eb="8">
      <t>サクゲン</t>
    </rPh>
    <rPh sb="8" eb="9">
      <t>リツ</t>
    </rPh>
    <rPh sb="14" eb="15">
      <t>キ</t>
    </rPh>
    <rPh sb="16" eb="17">
      <t>ア</t>
    </rPh>
    <phoneticPr fontId="4"/>
  </si>
  <si>
    <t>○</t>
  </si>
  <si>
    <t>フラグ</t>
    <phoneticPr fontId="4"/>
  </si>
  <si>
    <t>設定値</t>
    <rPh sb="0" eb="3">
      <t>セッテイチ</t>
    </rPh>
    <phoneticPr fontId="4"/>
  </si>
  <si>
    <t>3b.13</t>
  </si>
  <si>
    <t>3b.18</t>
  </si>
  <si>
    <t>駐車場ファンのCO又はCO2濃度制御の導入</t>
    <rPh sb="19" eb="21">
      <t>ドウニュウ</t>
    </rPh>
    <phoneticPr fontId="3"/>
  </si>
  <si>
    <t>CO2濃度による外気量制御の導入
対策36と削減効果が重複するため、省エネ率を50％ずつ按分</t>
    <rPh sb="3" eb="5">
      <t>ノウド</t>
    </rPh>
    <rPh sb="8" eb="10">
      <t>ガイキ</t>
    </rPh>
    <rPh sb="10" eb="11">
      <t>リョウ</t>
    </rPh>
    <rPh sb="11" eb="13">
      <t>セイギョ</t>
    </rPh>
    <rPh sb="14" eb="16">
      <t>ドウニュウ</t>
    </rPh>
    <phoneticPr fontId="3"/>
  </si>
  <si>
    <t>CO2濃度による外気量制御の導入
対策44と削減効果が重複するため、省エネ率を50％ずつ按分</t>
    <phoneticPr fontId="4"/>
  </si>
  <si>
    <t>タスク＆アンビエント照明システムの導入
対策55、68と効果が重複するため、省エネ率を以下の比率で按分する
対策46：45%％。対策55：50％、対策68：5%</t>
    <rPh sb="20" eb="22">
      <t>タイサク</t>
    </rPh>
    <rPh sb="28" eb="30">
      <t>コウカ</t>
    </rPh>
    <rPh sb="31" eb="33">
      <t>チョウフク</t>
    </rPh>
    <rPh sb="38" eb="39">
      <t>ショウ</t>
    </rPh>
    <rPh sb="41" eb="42">
      <t>リツ</t>
    </rPh>
    <rPh sb="43" eb="45">
      <t>イカ</t>
    </rPh>
    <rPh sb="46" eb="48">
      <t>ヒリツ</t>
    </rPh>
    <rPh sb="49" eb="51">
      <t>アンブン</t>
    </rPh>
    <rPh sb="54" eb="56">
      <t>タイサク</t>
    </rPh>
    <rPh sb="64" eb="66">
      <t>タイサク</t>
    </rPh>
    <rPh sb="73" eb="75">
      <t>タイサク</t>
    </rPh>
    <phoneticPr fontId="3"/>
  </si>
  <si>
    <t>3d.4</t>
  </si>
  <si>
    <t>洗面器の自動水栓の導入
対策60と効果が重複するため、省エネ率を50％ずつ按分する。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</si>
  <si>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洗面器の自動水栓の導入
対策59と効果が重複するため、省エネ率を50％ずつ按分する。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</si>
  <si>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CO2濃度・外気温湿度による外気取入量の調整</t>
    <phoneticPr fontId="4"/>
  </si>
  <si>
    <t>※エネルギーシェア「給排水」のCO2削減余地を計算する</t>
    <rPh sb="10" eb="11">
      <t>キュウ</t>
    </rPh>
    <rPh sb="11" eb="13">
      <t>ハイスイ</t>
    </rPh>
    <rPh sb="18" eb="20">
      <t>サクゲン</t>
    </rPh>
    <rPh sb="20" eb="22">
      <t>ヨチ</t>
    </rPh>
    <rPh sb="23" eb="25">
      <t>ケイサン</t>
    </rPh>
    <phoneticPr fontId="4"/>
  </si>
  <si>
    <t>居室の室内温度の適正化</t>
    <phoneticPr fontId="4"/>
  </si>
  <si>
    <t>居室の室内温度の適正化
削減効果が重複するため、省エネ率を対策13～15、22に割り振った</t>
    <rPh sb="12" eb="14">
      <t>サクゲン</t>
    </rPh>
    <rPh sb="14" eb="16">
      <t>コウカ</t>
    </rPh>
    <rPh sb="17" eb="19">
      <t>チョウフク</t>
    </rPh>
    <rPh sb="24" eb="25">
      <t>ショウ</t>
    </rPh>
    <rPh sb="27" eb="28">
      <t>リツ</t>
    </rPh>
    <phoneticPr fontId="4"/>
  </si>
  <si>
    <t>実施済</t>
    <rPh sb="0" eb="2">
      <t>ジッシ</t>
    </rPh>
    <rPh sb="2" eb="3">
      <t>ズ</t>
    </rPh>
    <phoneticPr fontId="4"/>
  </si>
  <si>
    <t>一部実施済</t>
    <rPh sb="0" eb="2">
      <t>イチブ</t>
    </rPh>
    <rPh sb="2" eb="4">
      <t>ジッシ</t>
    </rPh>
    <rPh sb="4" eb="5">
      <t>スミ</t>
    </rPh>
    <phoneticPr fontId="4"/>
  </si>
  <si>
    <t>過半で実施済</t>
    <rPh sb="0" eb="2">
      <t>カハン</t>
    </rPh>
    <rPh sb="3" eb="5">
      <t>ジッシ</t>
    </rPh>
    <rPh sb="5" eb="6">
      <t>スミ</t>
    </rPh>
    <phoneticPr fontId="4"/>
  </si>
  <si>
    <t>・空調スイッチの温度変更範囲を制限
・室温が管理値となる設定温度に統一</t>
    <phoneticPr fontId="4"/>
  </si>
  <si>
    <t>事務室の室温を許容範囲で緩和</t>
  </si>
  <si>
    <t>温度分布の把握､改善（例：サーキュレーターの設置等）</t>
    <phoneticPr fontId="4"/>
  </si>
  <si>
    <t>適用範囲補正係数
（赤文字は入力データにより変動する）</t>
    <rPh sb="0" eb="2">
      <t>テキヨウ</t>
    </rPh>
    <rPh sb="2" eb="4">
      <t>ハンイ</t>
    </rPh>
    <rPh sb="4" eb="6">
      <t>ホセイ</t>
    </rPh>
    <rPh sb="6" eb="8">
      <t>ケイスウ</t>
    </rPh>
    <rPh sb="10" eb="11">
      <t>アカ</t>
    </rPh>
    <rPh sb="11" eb="13">
      <t>モジ</t>
    </rPh>
    <rPh sb="14" eb="16">
      <t>ニュウリョク</t>
    </rPh>
    <rPh sb="22" eb="24">
      <t>ヘンドウ</t>
    </rPh>
    <phoneticPr fontId="4"/>
  </si>
  <si>
    <t>・責任者の配置､経営層､テナントを含む全従業員の参加
・推進委員会等の定期的な開催</t>
  </si>
  <si>
    <r>
      <t>エネルギー使用量､照度､温湿度､CO2</t>
    </r>
    <r>
      <rPr>
        <sz val="9"/>
        <rFont val="游ゴシック"/>
        <family val="3"/>
        <charset val="128"/>
        <scheme val="minor"/>
      </rPr>
      <t>濃度等を計測､記録</t>
    </r>
    <phoneticPr fontId="4"/>
  </si>
  <si>
    <t>始業前の外気導入を抑制又は停止</t>
  </si>
  <si>
    <r>
      <t>CO</t>
    </r>
    <r>
      <rPr>
        <vertAlign val="subscript"/>
        <sz val="9"/>
        <rFont val="游ゴシック"/>
        <family val="3"/>
        <charset val="128"/>
        <scheme val="minor"/>
      </rPr>
      <t>2</t>
    </r>
    <r>
      <rPr>
        <sz val="9"/>
        <rFont val="游ゴシック"/>
        <family val="3"/>
        <charset val="128"/>
        <scheme val="minor"/>
      </rPr>
      <t>濃度800ppm程度に外気取入量を調整</t>
    </r>
    <rPh sb="16" eb="18">
      <t>トリイレ</t>
    </rPh>
    <phoneticPr fontId="4"/>
  </si>
  <si>
    <t>★貴事業所の省エネ改善余地</t>
    <rPh sb="1" eb="2">
      <t>キ</t>
    </rPh>
    <rPh sb="2" eb="5">
      <t>ジギョウショ</t>
    </rPh>
    <rPh sb="6" eb="7">
      <t>ショウ</t>
    </rPh>
    <rPh sb="9" eb="11">
      <t>カイゼン</t>
    </rPh>
    <rPh sb="11" eb="13">
      <t>ヨチ</t>
    </rPh>
    <phoneticPr fontId="4"/>
  </si>
  <si>
    <t>貴事業所のエネルギー使用量は、同一用途の事業所の平均値よりも大きくなっており、「ムダ」づかいの可能性があります。【対策チェックシート】で点検すると、どこにムダがあるか発見できます。一刻も早く、平均以上を目指して取り組みましょう。</t>
    <rPh sb="10" eb="12">
      <t>シヨウ</t>
    </rPh>
    <rPh sb="15" eb="17">
      <t>ドウイツ</t>
    </rPh>
    <rPh sb="17" eb="19">
      <t>ヨウト</t>
    </rPh>
    <rPh sb="20" eb="23">
      <t>ジギョウショ</t>
    </rPh>
    <rPh sb="24" eb="27">
      <t>ヘイキンチ</t>
    </rPh>
    <rPh sb="30" eb="31">
      <t>オオ</t>
    </rPh>
    <rPh sb="47" eb="50">
      <t>カノウセイ</t>
    </rPh>
    <rPh sb="57" eb="59">
      <t>タイサク</t>
    </rPh>
    <rPh sb="68" eb="70">
      <t>テンケン</t>
    </rPh>
    <rPh sb="83" eb="85">
      <t>ハッケン</t>
    </rPh>
    <rPh sb="90" eb="92">
      <t>イッコク</t>
    </rPh>
    <rPh sb="93" eb="94">
      <t>ハヤ</t>
    </rPh>
    <rPh sb="96" eb="98">
      <t>ヘイキン</t>
    </rPh>
    <rPh sb="98" eb="100">
      <t>イジョウ</t>
    </rPh>
    <rPh sb="101" eb="103">
      <t>メザ</t>
    </rPh>
    <rPh sb="105" eb="106">
      <t>ト</t>
    </rPh>
    <rPh sb="107" eb="108">
      <t>ク</t>
    </rPh>
    <phoneticPr fontId="4"/>
  </si>
  <si>
    <t>貴事業所のエネルギー使用量は、同一用途の事業所の平均値と同等です。平均以上を目指し、対策を進めましょう。</t>
    <rPh sb="15" eb="17">
      <t>ドウイツ</t>
    </rPh>
    <rPh sb="17" eb="19">
      <t>ヨウト</t>
    </rPh>
    <rPh sb="20" eb="23">
      <t>ジギョウショ</t>
    </rPh>
    <rPh sb="24" eb="27">
      <t>ヘイキンチ</t>
    </rPh>
    <rPh sb="28" eb="30">
      <t>ドウトウ</t>
    </rPh>
    <rPh sb="33" eb="35">
      <t>ヘイキン</t>
    </rPh>
    <rPh sb="35" eb="37">
      <t>イジョウ</t>
    </rPh>
    <phoneticPr fontId="4"/>
  </si>
  <si>
    <t>※ 削減コストの推計値は、貴事業所と東京都低炭素ベンチマークの平均値ラインと比較した削減余地から算出しています。あくまで推計値であり、その結果を保証するものではありません。</t>
    <rPh sb="8" eb="11">
      <t>スイケイチ</t>
    </rPh>
    <rPh sb="13" eb="14">
      <t>キ</t>
    </rPh>
    <rPh sb="14" eb="17">
      <t>ジギョウショ</t>
    </rPh>
    <phoneticPr fontId="4"/>
  </si>
  <si>
    <t>原単位値が小さい（－以上）</t>
    <rPh sb="0" eb="3">
      <t>ゲンタンイ</t>
    </rPh>
    <rPh sb="3" eb="4">
      <t>チ</t>
    </rPh>
    <rPh sb="5" eb="6">
      <t>チイ</t>
    </rPh>
    <rPh sb="10" eb="12">
      <t>イジョウ</t>
    </rPh>
    <phoneticPr fontId="4"/>
  </si>
  <si>
    <r>
      <t>CO</t>
    </r>
    <r>
      <rPr>
        <b/>
        <vertAlign val="subscript"/>
        <sz val="12"/>
        <color theme="0"/>
        <rFont val="Meiryo UI"/>
        <family val="3"/>
        <charset val="128"/>
      </rPr>
      <t>2</t>
    </r>
    <r>
      <rPr>
        <b/>
        <sz val="12"/>
        <color theme="0"/>
        <rFont val="Meiryo UI"/>
        <family val="3"/>
        <charset val="128"/>
      </rPr>
      <t>排出量</t>
    </r>
    <rPh sb="3" eb="5">
      <t>ハイシュツ</t>
    </rPh>
    <rPh sb="5" eb="6">
      <t>リョウ</t>
    </rPh>
    <phoneticPr fontId="4"/>
  </si>
  <si>
    <r>
      <t>m</t>
    </r>
    <r>
      <rPr>
        <b/>
        <vertAlign val="superscript"/>
        <sz val="12"/>
        <color theme="1"/>
        <rFont val="Meiryo UI"/>
        <family val="3"/>
        <charset val="128"/>
      </rPr>
      <t>3</t>
    </r>
    <phoneticPr fontId="4"/>
  </si>
  <si>
    <r>
      <t>t-CO</t>
    </r>
    <r>
      <rPr>
        <b/>
        <vertAlign val="subscript"/>
        <sz val="12"/>
        <color theme="1"/>
        <rFont val="Meiryo UI"/>
        <family val="3"/>
        <charset val="128"/>
      </rPr>
      <t>2</t>
    </r>
    <phoneticPr fontId="4"/>
  </si>
  <si>
    <r>
      <t>m</t>
    </r>
    <r>
      <rPr>
        <b/>
        <vertAlign val="superscript"/>
        <sz val="12"/>
        <color theme="1"/>
        <rFont val="Meiryo UI"/>
        <family val="3"/>
        <charset val="128"/>
      </rPr>
      <t>2</t>
    </r>
    <phoneticPr fontId="4"/>
  </si>
  <si>
    <r>
      <t>本シートの入力後、【</t>
    </r>
    <r>
      <rPr>
        <b/>
        <sz val="12"/>
        <color rgb="FFCCFFCC"/>
        <rFont val="Meiryo UI"/>
        <family val="3"/>
        <charset val="128"/>
      </rPr>
      <t>対策チェックシート</t>
    </r>
    <r>
      <rPr>
        <b/>
        <sz val="12"/>
        <color theme="0"/>
        <rFont val="Meiryo UI"/>
        <family val="3"/>
        <charset val="128"/>
      </rPr>
      <t xml:space="preserve">】に貴事業所の省エネ対策の取組状況を入力してください。
 【省エネポテンシャルシート】に省エネ対策の実施状況に応じた削減余地等が表示されます。
</t>
    </r>
    <rPh sb="0" eb="1">
      <t>ホン</t>
    </rPh>
    <rPh sb="5" eb="7">
      <t>ニュウリョク</t>
    </rPh>
    <rPh sb="7" eb="8">
      <t>ゴ</t>
    </rPh>
    <rPh sb="10" eb="12">
      <t>タイサク</t>
    </rPh>
    <rPh sb="21" eb="22">
      <t>キ</t>
    </rPh>
    <rPh sb="22" eb="24">
      <t>ジギョウ</t>
    </rPh>
    <rPh sb="24" eb="25">
      <t>ショ</t>
    </rPh>
    <rPh sb="26" eb="27">
      <t>ショウ</t>
    </rPh>
    <rPh sb="29" eb="31">
      <t>タイサク</t>
    </rPh>
    <rPh sb="32" eb="34">
      <t>トリクミ</t>
    </rPh>
    <rPh sb="37" eb="39">
      <t>ニュウリョク</t>
    </rPh>
    <rPh sb="49" eb="50">
      <t>ショウ</t>
    </rPh>
    <rPh sb="63" eb="64">
      <t>ショウ</t>
    </rPh>
    <rPh sb="66" eb="68">
      <t>タイサク</t>
    </rPh>
    <rPh sb="69" eb="71">
      <t>ジッシ</t>
    </rPh>
    <rPh sb="71" eb="73">
      <t>ジョウキョウ</t>
    </rPh>
    <rPh sb="74" eb="75">
      <t>オウ</t>
    </rPh>
    <phoneticPr fontId="4"/>
  </si>
  <si>
    <r>
      <rPr>
        <b/>
        <sz val="12"/>
        <color rgb="FFFFFF99"/>
        <rFont val="Meiryo UI"/>
        <family val="3"/>
        <charset val="128"/>
      </rPr>
      <t>黄色のセル■</t>
    </r>
    <r>
      <rPr>
        <b/>
        <sz val="12"/>
        <color theme="0"/>
        <rFont val="Meiryo UI"/>
        <family val="3"/>
        <charset val="128"/>
      </rPr>
      <t>に必要な情報や数値を入力してください。</t>
    </r>
    <rPh sb="0" eb="2">
      <t>キイロ</t>
    </rPh>
    <rPh sb="7" eb="9">
      <t>ヒツヨウ</t>
    </rPh>
    <rPh sb="10" eb="12">
      <t>ジョウホウ</t>
    </rPh>
    <rPh sb="13" eb="15">
      <t>スウチ</t>
    </rPh>
    <rPh sb="16" eb="18">
      <t>ニュウリョク</t>
    </rPh>
    <phoneticPr fontId="4"/>
  </si>
  <si>
    <r>
      <t>～ エネルギーコストの無駄を“</t>
    </r>
    <r>
      <rPr>
        <sz val="32"/>
        <color rgb="FFFFFF00"/>
        <rFont val="HGP創英角ｺﾞｼｯｸUB"/>
        <family val="3"/>
        <charset val="128"/>
      </rPr>
      <t>見える化</t>
    </r>
    <r>
      <rPr>
        <sz val="32"/>
        <color theme="0"/>
        <rFont val="HGP創英角ｺﾞｼｯｸUB"/>
        <family val="3"/>
        <charset val="128"/>
      </rPr>
      <t>” ～</t>
    </r>
    <rPh sb="11" eb="13">
      <t>ムダ</t>
    </rPh>
    <rPh sb="15" eb="16">
      <t>ミ</t>
    </rPh>
    <rPh sb="18" eb="19">
      <t>カ</t>
    </rPh>
    <phoneticPr fontId="4"/>
  </si>
  <si>
    <r>
      <t>CO</t>
    </r>
    <r>
      <rPr>
        <b/>
        <vertAlign val="subscript"/>
        <sz val="10"/>
        <color theme="1"/>
        <rFont val="Meiryo UI"/>
        <family val="3"/>
        <charset val="128"/>
      </rPr>
      <t>2</t>
    </r>
    <r>
      <rPr>
        <b/>
        <sz val="10"/>
        <color theme="1"/>
        <rFont val="Meiryo UI"/>
        <family val="3"/>
        <charset val="128"/>
      </rPr>
      <t>排出量
（t-CO</t>
    </r>
    <r>
      <rPr>
        <b/>
        <vertAlign val="subscript"/>
        <sz val="10"/>
        <color theme="1"/>
        <rFont val="Meiryo UI"/>
        <family val="3"/>
        <charset val="128"/>
      </rPr>
      <t>2</t>
    </r>
    <r>
      <rPr>
        <b/>
        <sz val="10"/>
        <color theme="1"/>
        <rFont val="Meiryo UI"/>
        <family val="3"/>
        <charset val="128"/>
      </rPr>
      <t>）</t>
    </r>
    <rPh sb="3" eb="5">
      <t>ハイシュツ</t>
    </rPh>
    <rPh sb="5" eb="6">
      <t>リョウ</t>
    </rPh>
    <phoneticPr fontId="4"/>
  </si>
  <si>
    <t>・主要機器の仕様､修繕･更新履歴及び費用等を記録
・竣工図､系統図等の整備､更新</t>
  </si>
  <si>
    <t>・点検項目､手順を定め社内点検
・省エネ診断等外部専門家を活用</t>
  </si>
  <si>
    <t>共用部の温度設定の緩和、停止</t>
  </si>
  <si>
    <t>事務室より1℃緩和又は停止</t>
  </si>
  <si>
    <t>空調運転時間の適正化</t>
  </si>
  <si>
    <t>事務室の室使用時刻に合わせて起動運転､停止</t>
  </si>
  <si>
    <t>空調運転開始時の外気導入停止</t>
  </si>
  <si>
    <t>運転開始時：予熱時間の短縮
停止時： 空調停止の15分程度前に熱源機停止</t>
  </si>
  <si>
    <t>電気室、機械室の室温の適正化</t>
  </si>
  <si>
    <t>非連続運転の実施（例：入室時のみ運転等）</t>
    <phoneticPr fontId="4"/>
  </si>
  <si>
    <t>CO濃度25ppm程度以下に風量を抑制</t>
  </si>
  <si>
    <t>厨房機器の運転状況に合わせて個別にオン・オフ</t>
  </si>
  <si>
    <t>ランプの定期交換時にLEDに更新</t>
  </si>
  <si>
    <t>給湯運転時間の適正化</t>
  </si>
  <si>
    <t>チューニング対策簡易診断ツール</t>
    <rPh sb="6" eb="8">
      <t>タイサク</t>
    </rPh>
    <rPh sb="8" eb="10">
      <t>カンイ</t>
    </rPh>
    <rPh sb="10" eb="12">
      <t>シンダン</t>
    </rPh>
    <phoneticPr fontId="4"/>
  </si>
  <si>
    <t>使用上支障のない範囲で給水バルブを絞り減圧</t>
    <phoneticPr fontId="4"/>
  </si>
  <si>
    <t>貴事業所のエネルギー使用量は、同一用途の事業所の平均値より小さく、しっかりと取組みされています。上位のレンジを目指し、対策を進めましょう。</t>
    <rPh sb="15" eb="19">
      <t>ドウイツヨウト</t>
    </rPh>
    <rPh sb="20" eb="23">
      <t>ジギョウショ</t>
    </rPh>
    <rPh sb="26" eb="27">
      <t>アタイ</t>
    </rPh>
    <rPh sb="29" eb="30">
      <t>チイ</t>
    </rPh>
    <rPh sb="48" eb="50">
      <t>ジョウイ</t>
    </rPh>
    <phoneticPr fontId="4"/>
  </si>
  <si>
    <t>ファンの運転開始設定温度を35℃程度に緩和し、運転時間を短縮</t>
    <rPh sb="4" eb="6">
      <t>ウンテン</t>
    </rPh>
    <rPh sb="6" eb="8">
      <t>カイシ</t>
    </rPh>
    <rPh sb="19" eb="21">
      <t>カンワ</t>
    </rPh>
    <rPh sb="23" eb="25">
      <t>ウンテン</t>
    </rPh>
    <rPh sb="25" eb="27">
      <t>ジカン</t>
    </rPh>
    <rPh sb="28" eb="30">
      <t>タンシュク</t>
    </rPh>
    <phoneticPr fontId="9"/>
  </si>
  <si>
    <t>夏季、冬季、中間期に換気モード切替のルール設定</t>
    <rPh sb="21" eb="23">
      <t>セッテイ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</si>
</sst>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quot;¥&quot;\-#,##0"/>
    <numFmt numFmtId="6" formatCode="&quot;¥&quot;#,##0;[Red]&quot;¥&quot;\-#,##0"/>
    <numFmt numFmtId="176" formatCode="0.0"/>
    <numFmt numFmtId="177" formatCode="0.0_ "/>
    <numFmt numFmtId="178" formatCode="0.0%"/>
    <numFmt numFmtId="179" formatCode="0.0_);[Red]\(0.0\)"/>
    <numFmt numFmtId="180" formatCode="0.00_ "/>
    <numFmt numFmtId="181" formatCode="&quot;¥&quot;#,##0_);[Red]\(&quot;¥&quot;#,##0\)"/>
    <numFmt numFmtId="182" formatCode="#,##0.0;[Red]\-#,##0.0"/>
    <numFmt numFmtId="183" formatCode="#,##0;&quot;▲ &quot;#,##0"/>
    <numFmt numFmtId="184" formatCode="#,##0.0;&quot;▲ &quot;#,##0.0"/>
    <numFmt numFmtId="185" formatCode="#,##0_ ;[Red]\-#,##0\ "/>
    <numFmt numFmtId="186" formatCode="0.000"/>
    <numFmt numFmtId="187" formatCode="#,##0_ "/>
    <numFmt numFmtId="188" formatCode="0.000_);[Red]\(0.000\)"/>
    <numFmt numFmtId="189" formatCode="0.0000"/>
    <numFmt numFmtId="190" formatCode="0_);[Red]\(0\)"/>
  </numFmts>
  <fonts count="99">
    <font>
      <sz val="11"/>
      <color theme="1"/>
      <name val="游ゴシック"/>
      <family val="2"/>
      <charset val="128"/>
      <scheme val="minor"/>
    </font>
    <font>
      <sz val="11"/>
      <color theme="1"/>
      <name val="游ゴシック"/>
      <family val="2"/>
      <charset val="128"/>
      <scheme val="minor"/>
    </font>
    <font>
      <sz val="9"/>
      <color rgb="FF000000"/>
      <name val="游ゴシック Medium"/>
      <family val="3"/>
      <charset val="128"/>
    </font>
    <font>
      <sz val="9"/>
      <color theme="1"/>
      <name val="游ゴシック Medium"/>
      <family val="3"/>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0.5"/>
      <name val="ＭＳ 明朝"/>
      <family val="1"/>
      <charset val="128"/>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FF0000"/>
      <name val="游ゴシック"/>
      <family val="2"/>
      <charset val="128"/>
      <scheme val="minor"/>
    </font>
    <font>
      <b/>
      <sz val="11"/>
      <color theme="1"/>
      <name val="游ゴシック"/>
      <family val="3"/>
      <charset val="128"/>
      <scheme val="minor"/>
    </font>
    <font>
      <b/>
      <sz val="8"/>
      <color theme="1"/>
      <name val="游ゴシック"/>
      <family val="3"/>
      <charset val="128"/>
      <scheme val="minor"/>
    </font>
    <font>
      <sz val="11"/>
      <name val="游ゴシック"/>
      <family val="2"/>
      <charset val="128"/>
      <scheme val="minor"/>
    </font>
    <font>
      <sz val="10"/>
      <color rgb="FF000000"/>
      <name val="游ゴシック Medium"/>
      <family val="3"/>
      <charset val="128"/>
    </font>
    <font>
      <sz val="11"/>
      <color rgb="FF000000"/>
      <name val="游ゴシック Medium"/>
      <family val="3"/>
      <charset val="128"/>
    </font>
    <font>
      <sz val="11"/>
      <color rgb="FFFF0000"/>
      <name val="游ゴシック"/>
      <family val="3"/>
      <charset val="128"/>
      <scheme val="minor"/>
    </font>
    <font>
      <sz val="11"/>
      <color theme="1"/>
      <name val="Meiryo UI"/>
      <family val="3"/>
      <charset val="128"/>
    </font>
    <font>
      <sz val="10"/>
      <color theme="1"/>
      <name val="Meiryo UI"/>
      <family val="3"/>
      <charset val="128"/>
    </font>
    <font>
      <sz val="10"/>
      <color rgb="FFFF0000"/>
      <name val="Meiryo UI"/>
      <family val="3"/>
      <charset val="128"/>
    </font>
    <font>
      <vertAlign val="subscript"/>
      <sz val="9"/>
      <color rgb="FF000000"/>
      <name val="游ゴシック Medium"/>
      <family val="3"/>
      <charset val="128"/>
    </font>
    <font>
      <b/>
      <sz val="14"/>
      <color theme="1"/>
      <name val="游ゴシック"/>
      <family val="3"/>
      <charset val="128"/>
      <scheme val="minor"/>
    </font>
    <font>
      <b/>
      <sz val="16"/>
      <color theme="1"/>
      <name val="游ゴシック"/>
      <family val="3"/>
      <charset val="128"/>
      <scheme val="minor"/>
    </font>
    <font>
      <sz val="14"/>
      <color theme="1"/>
      <name val="游ゴシック"/>
      <family val="2"/>
      <charset val="128"/>
      <scheme val="minor"/>
    </font>
    <font>
      <sz val="12"/>
      <color theme="1"/>
      <name val="Meiryo UI"/>
      <family val="3"/>
      <charset val="128"/>
    </font>
    <font>
      <b/>
      <sz val="14"/>
      <color theme="1"/>
      <name val="Meiryo UI"/>
      <family val="3"/>
      <charset val="128"/>
    </font>
    <font>
      <b/>
      <sz val="12"/>
      <color theme="1"/>
      <name val="Meiryo UI"/>
      <family val="3"/>
      <charset val="128"/>
    </font>
    <font>
      <b/>
      <sz val="11"/>
      <color theme="1"/>
      <name val="Meiryo UI"/>
      <family val="3"/>
      <charset val="128"/>
    </font>
    <font>
      <b/>
      <sz val="18"/>
      <color theme="1"/>
      <name val="Meiryo UI"/>
      <family val="3"/>
      <charset val="128"/>
    </font>
    <font>
      <b/>
      <sz val="22"/>
      <color theme="1"/>
      <name val="Arial Rounded MT Bold"/>
      <family val="2"/>
    </font>
    <font>
      <sz val="11"/>
      <color rgb="FF00B050"/>
      <name val="Meiryo UI"/>
      <family val="3"/>
      <charset val="128"/>
    </font>
    <font>
      <b/>
      <sz val="16"/>
      <color theme="1"/>
      <name val="Arial Rounded MT Bold"/>
      <family val="2"/>
    </font>
    <font>
      <sz val="14"/>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6"/>
      <name val="游ゴシック"/>
      <family val="3"/>
      <charset val="128"/>
      <scheme val="minor"/>
    </font>
    <font>
      <sz val="9"/>
      <color rgb="FF000000"/>
      <name val="游ゴシック"/>
      <family val="3"/>
      <charset val="128"/>
      <scheme val="minor"/>
    </font>
    <font>
      <sz val="7"/>
      <color rgb="FF000000"/>
      <name val="游ゴシック"/>
      <family val="3"/>
      <charset val="128"/>
      <scheme val="minor"/>
    </font>
    <font>
      <sz val="9"/>
      <name val="游ゴシック"/>
      <family val="3"/>
      <charset val="128"/>
      <scheme val="minor"/>
    </font>
    <font>
      <sz val="9"/>
      <color rgb="FFFF0000"/>
      <name val="游ゴシック"/>
      <family val="3"/>
      <charset val="128"/>
      <scheme val="minor"/>
    </font>
    <font>
      <sz val="7"/>
      <color theme="1"/>
      <name val="游ゴシック"/>
      <family val="3"/>
      <charset val="128"/>
      <scheme val="minor"/>
    </font>
    <font>
      <b/>
      <sz val="11"/>
      <name val="游ゴシック"/>
      <family val="3"/>
      <charset val="128"/>
      <scheme val="minor"/>
    </font>
    <font>
      <sz val="10"/>
      <color rgb="FF000000"/>
      <name val="游ゴシック"/>
      <family val="3"/>
      <charset val="128"/>
      <scheme val="minor"/>
    </font>
    <font>
      <sz val="9"/>
      <color theme="1"/>
      <name val="Meiryo UI"/>
      <family val="3"/>
      <charset val="128"/>
    </font>
    <font>
      <sz val="8"/>
      <name val="游ゴシック"/>
      <family val="3"/>
      <charset val="128"/>
      <scheme val="minor"/>
    </font>
    <font>
      <vertAlign val="superscript"/>
      <sz val="12.65"/>
      <color theme="1"/>
      <name val="Meiryo UI"/>
      <family val="3"/>
      <charset val="128"/>
    </font>
    <font>
      <sz val="8"/>
      <color theme="1"/>
      <name val="Meiryo UI"/>
      <family val="3"/>
      <charset val="128"/>
    </font>
    <font>
      <b/>
      <sz val="26"/>
      <color theme="1"/>
      <name val="Arial Rounded MT Bold"/>
      <family val="2"/>
    </font>
    <font>
      <sz val="11"/>
      <name val="游ゴシック"/>
      <family val="3"/>
      <charset val="128"/>
      <scheme val="minor"/>
    </font>
    <font>
      <b/>
      <sz val="10"/>
      <color theme="1"/>
      <name val="Meiryo UI"/>
      <family val="3"/>
      <charset val="128"/>
    </font>
    <font>
      <sz val="11"/>
      <color rgb="FFFF0000"/>
      <name val="Meiryo UI"/>
      <family val="3"/>
      <charset val="128"/>
    </font>
    <font>
      <b/>
      <sz val="9"/>
      <color theme="1"/>
      <name val="Meiryo UI"/>
      <family val="3"/>
      <charset val="128"/>
    </font>
    <font>
      <b/>
      <sz val="24"/>
      <color theme="1"/>
      <name val="Arial Rounded MT Bold"/>
      <family val="2"/>
    </font>
    <font>
      <sz val="12"/>
      <color theme="1"/>
      <name val="游ゴシック"/>
      <family val="2"/>
      <charset val="128"/>
      <scheme val="minor"/>
    </font>
    <font>
      <b/>
      <vertAlign val="subscript"/>
      <sz val="10"/>
      <color theme="1"/>
      <name val="Meiryo UI"/>
      <family val="3"/>
      <charset val="128"/>
    </font>
    <font>
      <b/>
      <sz val="20"/>
      <color rgb="FFFFFF00"/>
      <name val="游ゴシック"/>
      <family val="3"/>
      <charset val="128"/>
      <scheme val="minor"/>
    </font>
    <font>
      <sz val="9"/>
      <color theme="1"/>
      <name val="游ゴシック"/>
      <family val="2"/>
      <scheme val="minor"/>
    </font>
    <font>
      <sz val="8"/>
      <color rgb="FF000000"/>
      <name val="游ゴシック"/>
      <family val="3"/>
      <charset val="128"/>
      <scheme val="minor"/>
    </font>
    <font>
      <b/>
      <sz val="10"/>
      <color theme="0"/>
      <name val="Meiryo UI"/>
      <family val="3"/>
      <charset val="128"/>
    </font>
    <font>
      <b/>
      <sz val="11"/>
      <color theme="0"/>
      <name val="Meiryo UI"/>
      <family val="3"/>
      <charset val="128"/>
    </font>
    <font>
      <sz val="10"/>
      <color theme="0"/>
      <name val="Meiryo UI"/>
      <family val="3"/>
      <charset val="128"/>
    </font>
    <font>
      <sz val="8"/>
      <color theme="0"/>
      <name val="Meiryo UI"/>
      <family val="3"/>
      <charset val="128"/>
    </font>
    <font>
      <sz val="11"/>
      <color theme="0"/>
      <name val="Meiryo UI"/>
      <family val="3"/>
      <charset val="128"/>
    </font>
    <font>
      <b/>
      <sz val="9"/>
      <color theme="0"/>
      <name val="Meiryo UI"/>
      <family val="3"/>
      <charset val="128"/>
    </font>
    <font>
      <b/>
      <sz val="12"/>
      <color theme="0"/>
      <name val="Meiryo UI"/>
      <family val="3"/>
      <charset val="128"/>
    </font>
    <font>
      <b/>
      <sz val="14"/>
      <color theme="0"/>
      <name val="Meiryo UI"/>
      <family val="3"/>
      <charset val="128"/>
    </font>
    <font>
      <b/>
      <sz val="8"/>
      <color theme="0"/>
      <name val="Meiryo UI"/>
      <family val="3"/>
      <charset val="128"/>
    </font>
    <font>
      <sz val="11"/>
      <color theme="1" tint="0.499984740745262"/>
      <name val="Meiryo UI"/>
      <family val="3"/>
      <charset val="128"/>
    </font>
    <font>
      <sz val="10.5"/>
      <color theme="1" tint="0.499984740745262"/>
      <name val="Meiryo UI"/>
      <family val="3"/>
      <charset val="128"/>
    </font>
    <font>
      <b/>
      <sz val="14"/>
      <color theme="1"/>
      <name val="Arial Rounded MT Bold"/>
      <family val="2"/>
    </font>
    <font>
      <b/>
      <sz val="10"/>
      <color theme="2" tint="-0.749992370372631"/>
      <name val="Meiryo UI"/>
      <family val="3"/>
      <charset val="128"/>
    </font>
    <font>
      <b/>
      <sz val="36"/>
      <color theme="1"/>
      <name val="Arial Rounded MT Bold"/>
      <family val="2"/>
    </font>
    <font>
      <b/>
      <vertAlign val="superscript"/>
      <sz val="12"/>
      <color theme="1"/>
      <name val="Meiryo UI"/>
      <family val="3"/>
      <charset val="128"/>
    </font>
    <font>
      <b/>
      <vertAlign val="superscript"/>
      <sz val="14"/>
      <color theme="1"/>
      <name val="Meiryo UI"/>
      <family val="3"/>
      <charset val="128"/>
    </font>
    <font>
      <b/>
      <sz val="18"/>
      <color theme="0"/>
      <name val="Meiryo UI"/>
      <family val="3"/>
      <charset val="128"/>
    </font>
    <font>
      <b/>
      <sz val="16"/>
      <color theme="0"/>
      <name val="Meiryo UI"/>
      <family val="3"/>
      <charset val="128"/>
    </font>
    <font>
      <sz val="15"/>
      <color theme="1"/>
      <name val="Meiryo UI"/>
      <family val="3"/>
      <charset val="128"/>
    </font>
    <font>
      <sz val="16"/>
      <color theme="1"/>
      <name val="Meiryo UI"/>
      <family val="3"/>
      <charset val="128"/>
    </font>
    <font>
      <sz val="12"/>
      <color theme="0"/>
      <name val="Meiryo UI"/>
      <family val="3"/>
      <charset val="128"/>
    </font>
    <font>
      <b/>
      <sz val="20"/>
      <color rgb="FF00B050"/>
      <name val="Meiryo UI"/>
      <family val="3"/>
      <charset val="128"/>
    </font>
    <font>
      <sz val="6"/>
      <color theme="1"/>
      <name val="Meiryo UI"/>
      <family val="3"/>
      <charset val="128"/>
    </font>
    <font>
      <sz val="11"/>
      <name val="Meiryo UI"/>
      <family val="3"/>
      <charset val="128"/>
    </font>
    <font>
      <b/>
      <sz val="14"/>
      <name val="Meiryo UI"/>
      <family val="3"/>
      <charset val="128"/>
    </font>
    <font>
      <b/>
      <vertAlign val="subscript"/>
      <sz val="14"/>
      <name val="Meiryo UI"/>
      <family val="3"/>
      <charset val="128"/>
    </font>
    <font>
      <b/>
      <sz val="11"/>
      <color rgb="FFFFFF99"/>
      <name val="Meiryo UI"/>
      <family val="3"/>
      <charset val="128"/>
    </font>
    <font>
      <sz val="9"/>
      <color rgb="FFFF0000"/>
      <name val="Meiryo UI"/>
      <family val="3"/>
      <charset val="128"/>
    </font>
    <font>
      <sz val="14"/>
      <color theme="1"/>
      <name val="Meiryo UI"/>
      <family val="3"/>
      <charset val="128"/>
    </font>
    <font>
      <b/>
      <sz val="18"/>
      <color rgb="FF00B050"/>
      <name val="Meiryo UI"/>
      <family val="3"/>
      <charset val="128"/>
    </font>
    <font>
      <vertAlign val="subscript"/>
      <sz val="9"/>
      <name val="游ゴシック"/>
      <family val="3"/>
      <charset val="128"/>
      <scheme val="minor"/>
    </font>
    <font>
      <sz val="9"/>
      <name val="游ゴシック Medium"/>
      <family val="3"/>
      <charset val="128"/>
    </font>
    <font>
      <b/>
      <vertAlign val="subscript"/>
      <sz val="12"/>
      <color theme="0"/>
      <name val="Meiryo UI"/>
      <family val="3"/>
      <charset val="128"/>
    </font>
    <font>
      <b/>
      <vertAlign val="subscript"/>
      <sz val="12"/>
      <color theme="1"/>
      <name val="Meiryo UI"/>
      <family val="3"/>
      <charset val="128"/>
    </font>
    <font>
      <b/>
      <sz val="36"/>
      <name val="Meiryo UI"/>
      <family val="3"/>
      <charset val="128"/>
    </font>
    <font>
      <b/>
      <sz val="12"/>
      <color rgb="FFCCFFCC"/>
      <name val="Meiryo UI"/>
      <family val="3"/>
      <charset val="128"/>
    </font>
    <font>
      <b/>
      <sz val="12"/>
      <color rgb="FFFFFF99"/>
      <name val="Meiryo UI"/>
      <family val="3"/>
      <charset val="128"/>
    </font>
    <font>
      <sz val="32"/>
      <color theme="0"/>
      <name val="HGP創英角ｺﾞｼｯｸUB"/>
      <family val="3"/>
      <charset val="128"/>
    </font>
    <font>
      <sz val="32"/>
      <color rgb="FFFFFF00"/>
      <name val="HGP創英角ｺﾞｼｯｸUB"/>
      <family val="3"/>
      <charset val="128"/>
    </font>
  </fonts>
  <fills count="47">
    <fill>
      <patternFill patternType="none"/>
    </fill>
    <fill>
      <patternFill patternType="gray125"/>
    </fill>
    <fill>
      <patternFill patternType="solid">
        <fgColor rgb="FFD9D9D9"/>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8" tint="0.59999389629810485"/>
        <bgColor indexed="64"/>
      </patternFill>
    </fill>
    <fill>
      <patternFill patternType="solid">
        <fgColor rgb="FF00808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8" tint="-0.249977111117893"/>
        <bgColor indexed="64"/>
      </patternFill>
    </fill>
    <fill>
      <gradientFill degree="270">
        <stop position="0">
          <color rgb="FF008080"/>
        </stop>
        <stop position="1">
          <color rgb="FF006666"/>
        </stop>
      </gradientFill>
    </fill>
    <fill>
      <gradientFill degree="270">
        <stop position="0">
          <color rgb="FF006666"/>
        </stop>
        <stop position="1">
          <color rgb="FF008080"/>
        </stop>
      </gradientFill>
    </fill>
    <fill>
      <gradientFill degree="90">
        <stop position="0">
          <color theme="8" tint="0.40000610370189521"/>
        </stop>
        <stop position="1">
          <color theme="8" tint="0.59999389629810485"/>
        </stop>
      </gradientFill>
    </fill>
    <fill>
      <gradientFill degree="90">
        <stop position="0">
          <color theme="9" tint="0.80001220740379042"/>
        </stop>
        <stop position="1">
          <color theme="9" tint="0.59999389629810485"/>
        </stop>
      </gradientFill>
    </fill>
    <fill>
      <gradientFill degree="90">
        <stop position="0">
          <color theme="4" tint="0.80001220740379042"/>
        </stop>
        <stop position="1">
          <color theme="4" tint="0.59999389629810485"/>
        </stop>
      </gradientFill>
    </fill>
    <fill>
      <gradientFill degree="90">
        <stop position="0">
          <color theme="5" tint="0.80001220740379042"/>
        </stop>
        <stop position="1">
          <color theme="5" tint="0.59999389629810485"/>
        </stop>
      </gradientFill>
    </fill>
    <fill>
      <gradientFill degree="90">
        <stop position="0">
          <color theme="8" tint="0.80001220740379042"/>
        </stop>
        <stop position="1">
          <color theme="8" tint="0.59999389629810485"/>
        </stop>
      </gradientFill>
    </fill>
    <fill>
      <gradientFill degree="90">
        <stop position="0">
          <color theme="7" tint="0.80001220740379042"/>
        </stop>
        <stop position="1">
          <color theme="7" tint="0.59999389629810485"/>
        </stop>
      </gradientFill>
    </fill>
    <fill>
      <gradientFill degree="270">
        <stop position="0">
          <color rgb="FF00B050"/>
        </stop>
        <stop position="1">
          <color rgb="FF339966"/>
        </stop>
      </gradientFill>
    </fill>
    <fill>
      <gradientFill degree="270">
        <stop position="0">
          <color theme="4" tint="-0.25098422193060094"/>
        </stop>
        <stop position="1">
          <color theme="4" tint="-0.49803155613879818"/>
        </stop>
      </gradientFill>
    </fill>
    <fill>
      <gradientFill degree="90">
        <stop position="0">
          <color theme="3" tint="0.59999389629810485"/>
        </stop>
        <stop position="1">
          <color theme="3" tint="0.80001220740379042"/>
        </stop>
      </gradientFill>
    </fill>
    <fill>
      <gradientFill degree="90">
        <stop position="0">
          <color theme="7"/>
        </stop>
        <stop position="1">
          <color theme="7" tint="0.59999389629810485"/>
        </stop>
      </gradientFill>
    </fill>
    <fill>
      <gradientFill degree="90">
        <stop position="0">
          <color theme="5" tint="0.40000610370189521"/>
        </stop>
        <stop position="1">
          <color theme="5" tint="0.59999389629810485"/>
        </stop>
      </gradientFill>
    </fill>
    <fill>
      <gradientFill degree="90">
        <stop position="0">
          <color theme="4" tint="0.40000610370189521"/>
        </stop>
        <stop position="1">
          <color theme="4" tint="0.59999389629810485"/>
        </stop>
      </gradientFill>
    </fill>
    <fill>
      <gradientFill degree="90">
        <stop position="0">
          <color theme="9" tint="0.40000610370189521"/>
        </stop>
        <stop position="1">
          <color theme="9" tint="0.59999389629810485"/>
        </stop>
      </gradientFill>
    </fill>
    <fill>
      <gradientFill degree="270">
        <stop position="0">
          <color theme="7" tint="-0.49803155613879818"/>
        </stop>
        <stop position="1">
          <color theme="7" tint="-0.25098422193060094"/>
        </stop>
      </gradientFill>
    </fill>
    <fill>
      <patternFill patternType="solid">
        <fgColor rgb="FFFFFF99"/>
        <bgColor auto="1"/>
      </patternFill>
    </fill>
    <fill>
      <patternFill patternType="solid">
        <fgColor rgb="FFCCFFCC"/>
        <bgColor indexed="64"/>
      </patternFill>
    </fill>
    <fill>
      <gradientFill degree="270">
        <stop position="0">
          <color theme="3" tint="0.59999389629810485"/>
        </stop>
        <stop position="1">
          <color theme="3" tint="0.80001220740379042"/>
        </stop>
      </gradientFill>
    </fill>
    <fill>
      <gradientFill degree="270">
        <stop position="0">
          <color theme="9" tint="0.40000610370189521"/>
        </stop>
        <stop position="1">
          <color theme="9" tint="0.59999389629810485"/>
        </stop>
      </gradientFill>
    </fill>
    <fill>
      <patternFill patternType="solid">
        <fgColor rgb="FF0066CC"/>
        <bgColor indexed="64"/>
      </patternFill>
    </fill>
    <fill>
      <gradientFill degree="90">
        <stop position="0">
          <color theme="0" tint="-0.25098422193060094"/>
        </stop>
        <stop position="1">
          <color theme="0"/>
        </stop>
      </gradientFill>
    </fill>
    <fill>
      <gradientFill degree="90">
        <stop position="0">
          <color rgb="FF0033CC"/>
        </stop>
        <stop position="1">
          <color rgb="FF0000FF"/>
        </stop>
      </gradientFill>
    </fill>
    <fill>
      <gradientFill degree="90">
        <stop position="0">
          <color rgb="FF3333FF"/>
        </stop>
        <stop position="1">
          <color rgb="FF0066CC"/>
        </stop>
      </gradientFill>
    </fill>
  </fills>
  <borders count="1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hair">
        <color auto="1"/>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rgb="FF000000"/>
      </bottom>
      <diagonal/>
    </border>
    <border>
      <left/>
      <right style="thin">
        <color indexed="64"/>
      </right>
      <top/>
      <bottom style="medium">
        <color rgb="FF000000"/>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style="hair">
        <color theme="0" tint="-0.499984740745262"/>
      </top>
      <bottom style="hair">
        <color theme="0" tint="-0.499984740745262"/>
      </bottom>
      <diagonal/>
    </border>
    <border>
      <left style="thin">
        <color theme="0"/>
      </left>
      <right style="hair">
        <color theme="0"/>
      </right>
      <top style="hair">
        <color theme="0" tint="-0.499984740745262"/>
      </top>
      <bottom style="hair">
        <color theme="0" tint="-0.499984740745262"/>
      </bottom>
      <diagonal/>
    </border>
    <border>
      <left style="hair">
        <color theme="0"/>
      </left>
      <right style="hair">
        <color theme="0"/>
      </right>
      <top style="hair">
        <color theme="0" tint="-0.499984740745262"/>
      </top>
      <bottom style="hair">
        <color theme="0" tint="-0.499984740745262"/>
      </bottom>
      <diagonal/>
    </border>
    <border>
      <left style="medium">
        <color theme="0" tint="-0.34998626667073579"/>
      </left>
      <right style="thin">
        <color theme="0"/>
      </right>
      <top style="thin">
        <color theme="0"/>
      </top>
      <bottom style="thin">
        <color theme="0"/>
      </bottom>
      <diagonal/>
    </border>
    <border>
      <left/>
      <right/>
      <top style="hair">
        <color theme="0" tint="-0.499984740745262"/>
      </top>
      <bottom style="thick">
        <color theme="0"/>
      </bottom>
      <diagonal/>
    </border>
    <border>
      <left/>
      <right/>
      <top style="thick">
        <color theme="0" tint="-0.499984740745262"/>
      </top>
      <bottom/>
      <diagonal/>
    </border>
    <border>
      <left style="thick">
        <color theme="0" tint="-0.499984740745262"/>
      </left>
      <right/>
      <top/>
      <bottom/>
      <diagonal/>
    </border>
    <border>
      <left style="hair">
        <color theme="0"/>
      </left>
      <right/>
      <top style="hair">
        <color theme="0" tint="-0.499984740745262"/>
      </top>
      <bottom style="hair">
        <color theme="0" tint="-0.499984740745262"/>
      </bottom>
      <diagonal/>
    </border>
    <border>
      <left/>
      <right/>
      <top/>
      <bottom style="medium">
        <color theme="0" tint="-0.24994659260841701"/>
      </bottom>
      <diagonal/>
    </border>
    <border>
      <left style="thin">
        <color theme="0"/>
      </left>
      <right style="hair">
        <color theme="0"/>
      </right>
      <top/>
      <bottom style="hair">
        <color theme="0" tint="-0.499984740745262"/>
      </bottom>
      <diagonal/>
    </border>
    <border>
      <left style="hair">
        <color theme="0"/>
      </left>
      <right style="hair">
        <color theme="0"/>
      </right>
      <top/>
      <bottom style="hair">
        <color theme="0" tint="-0.499984740745262"/>
      </bottom>
      <diagonal/>
    </border>
    <border>
      <left style="hair">
        <color theme="0"/>
      </left>
      <right/>
      <top/>
      <bottom style="hair">
        <color theme="0" tint="-0.499984740745262"/>
      </bottom>
      <diagonal/>
    </border>
    <border>
      <left/>
      <right style="medium">
        <color theme="0" tint="-0.34998626667073579"/>
      </right>
      <top/>
      <bottom/>
      <diagonal/>
    </border>
    <border>
      <left style="thick">
        <color theme="0" tint="-0.499984740745262"/>
      </left>
      <right style="medium">
        <color theme="0" tint="-0.24994659260841701"/>
      </right>
      <top/>
      <bottom/>
      <diagonal/>
    </border>
    <border>
      <left/>
      <right/>
      <top style="thick">
        <color theme="0"/>
      </top>
      <bottom style="hair">
        <color theme="0" tint="-0.499984740745262"/>
      </bottom>
      <diagonal/>
    </border>
    <border>
      <left/>
      <right/>
      <top/>
      <bottom style="thin">
        <color theme="0"/>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top/>
      <bottom style="thick">
        <color theme="0"/>
      </bottom>
      <diagonal/>
    </border>
    <border>
      <left/>
      <right style="thick">
        <color theme="0"/>
      </right>
      <top/>
      <bottom style="thick">
        <color theme="0"/>
      </bottom>
      <diagonal/>
    </border>
    <border>
      <left/>
      <right style="thick">
        <color theme="0"/>
      </right>
      <top/>
      <bottom/>
      <diagonal/>
    </border>
    <border>
      <left style="thick">
        <color theme="0"/>
      </left>
      <right/>
      <top/>
      <bottom style="thick">
        <color theme="0"/>
      </bottom>
      <diagonal/>
    </border>
    <border>
      <left style="medium">
        <color theme="0"/>
      </left>
      <right style="medium">
        <color theme="0"/>
      </right>
      <top style="hair">
        <color theme="0" tint="-0.499984740745262"/>
      </top>
      <bottom style="thick">
        <color theme="0" tint="-0.499984740745262"/>
      </bottom>
      <diagonal/>
    </border>
    <border>
      <left style="medium">
        <color theme="0"/>
      </left>
      <right style="thick">
        <color theme="0" tint="-0.499984740745262"/>
      </right>
      <top style="hair">
        <color theme="0" tint="-0.499984740745262"/>
      </top>
      <bottom style="thick">
        <color theme="0" tint="-0.499984740745262"/>
      </bottom>
      <diagonal/>
    </border>
    <border>
      <left style="medium">
        <color theme="0"/>
      </left>
      <right style="thick">
        <color theme="0" tint="-0.499984740745262"/>
      </right>
      <top style="medium">
        <color theme="0" tint="-0.14993743705557422"/>
      </top>
      <bottom style="hair">
        <color theme="0" tint="-0.499984740745262"/>
      </bottom>
      <diagonal/>
    </border>
    <border>
      <left style="medium">
        <color theme="0" tint="-0.14996795556505021"/>
      </left>
      <right/>
      <top style="hair">
        <color theme="0" tint="-0.499984740745262"/>
      </top>
      <bottom style="thick">
        <color theme="0" tint="-0.499984740745262"/>
      </bottom>
      <diagonal/>
    </border>
    <border>
      <left/>
      <right/>
      <top style="hair">
        <color theme="0" tint="-0.499984740745262"/>
      </top>
      <bottom style="thick">
        <color theme="0" tint="-0.499984740745262"/>
      </bottom>
      <diagonal/>
    </border>
    <border>
      <left/>
      <right style="medium">
        <color theme="0"/>
      </right>
      <top style="hair">
        <color theme="0" tint="-0.499984740745262"/>
      </top>
      <bottom style="thick">
        <color theme="0" tint="-0.499984740745262"/>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style="thick">
        <color theme="0"/>
      </left>
      <right/>
      <top/>
      <bottom/>
      <diagonal/>
    </border>
    <border>
      <left style="mediumDashed">
        <color rgb="FFFF33CC"/>
      </left>
      <right/>
      <top style="mediumDashed">
        <color rgb="FFFF33CC"/>
      </top>
      <bottom style="mediumDashed">
        <color rgb="FFFF33CC"/>
      </bottom>
      <diagonal/>
    </border>
    <border>
      <left/>
      <right/>
      <top style="mediumDashed">
        <color rgb="FFFF33CC"/>
      </top>
      <bottom style="mediumDashed">
        <color rgb="FFFF33CC"/>
      </bottom>
      <diagonal/>
    </border>
    <border>
      <left/>
      <right style="mediumDashed">
        <color rgb="FFFF33CC"/>
      </right>
      <top style="mediumDashed">
        <color rgb="FFFF33CC"/>
      </top>
      <bottom style="mediumDashed">
        <color rgb="FFFF33CC"/>
      </bottom>
      <diagonal/>
    </border>
    <border>
      <left style="thin">
        <color indexed="64"/>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n">
        <color theme="0"/>
      </top>
      <bottom style="thin">
        <color theme="0"/>
      </bottom>
      <diagonal/>
    </border>
    <border>
      <left style="medium">
        <color theme="0" tint="-0.34998626667073579"/>
      </left>
      <right style="thin">
        <color theme="0"/>
      </right>
      <top/>
      <bottom/>
      <diagonal/>
    </border>
    <border>
      <left style="hair">
        <color theme="0"/>
      </left>
      <right style="hair">
        <color theme="0"/>
      </right>
      <top style="hair">
        <color theme="0" tint="-0.499984740745262"/>
      </top>
      <bottom/>
      <diagonal/>
    </border>
    <border>
      <left style="hair">
        <color theme="0"/>
      </left>
      <right/>
      <top style="hair">
        <color theme="0" tint="-0.499984740745262"/>
      </top>
      <bottom/>
      <diagonal/>
    </border>
    <border>
      <left style="thin">
        <color theme="0"/>
      </left>
      <right/>
      <top style="hair">
        <color theme="0" tint="-0.499984740745262"/>
      </top>
      <bottom style="hair">
        <color theme="0" tint="-0.34998626667073579"/>
      </bottom>
      <diagonal/>
    </border>
    <border>
      <left/>
      <right/>
      <top style="hair">
        <color theme="0" tint="-0.499984740745262"/>
      </top>
      <bottom style="hair">
        <color theme="0" tint="-0.34998626667073579"/>
      </bottom>
      <diagonal/>
    </border>
    <border>
      <left/>
      <right style="thick">
        <color theme="0" tint="-0.499984740745262"/>
      </right>
      <top style="hair">
        <color theme="0" tint="-0.499984740745262"/>
      </top>
      <bottom style="hair">
        <color theme="0" tint="-0.34998626667073579"/>
      </bottom>
      <diagonal/>
    </border>
    <border>
      <left style="thin">
        <color theme="0"/>
      </left>
      <right/>
      <top style="thin">
        <color theme="0"/>
      </top>
      <bottom style="thin">
        <color theme="0"/>
      </bottom>
      <diagonal/>
    </border>
    <border>
      <left style="thin">
        <color theme="0"/>
      </left>
      <right style="hair">
        <color theme="0"/>
      </right>
      <top/>
      <bottom/>
      <diagonal/>
    </border>
    <border>
      <left/>
      <right/>
      <top style="hair">
        <color theme="0" tint="-0.34998626667073579"/>
      </top>
      <bottom style="thick">
        <color theme="0" tint="-0.499984740745262"/>
      </bottom>
      <diagonal/>
    </border>
    <border>
      <left/>
      <right/>
      <top style="hair">
        <color theme="0" tint="-0.34998626667073579"/>
      </top>
      <bottom style="hair">
        <color theme="0" tint="-0.34998626667073579"/>
      </bottom>
      <diagonal/>
    </border>
    <border>
      <left/>
      <right style="hair">
        <color theme="0"/>
      </right>
      <top style="hair">
        <color theme="0" tint="-0.34998626667073579"/>
      </top>
      <bottom style="thick">
        <color theme="0" tint="-0.499984740745262"/>
      </bottom>
      <diagonal/>
    </border>
    <border>
      <left style="hair">
        <color theme="0"/>
      </left>
      <right style="hair">
        <color theme="0"/>
      </right>
      <top/>
      <bottom/>
      <diagonal/>
    </border>
    <border>
      <left/>
      <right style="hair">
        <color theme="0"/>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thick">
        <color theme="1" tint="0.499984740745262"/>
      </right>
      <top/>
      <bottom style="hair">
        <color theme="0" tint="-0.499984740745262"/>
      </bottom>
      <diagonal/>
    </border>
    <border>
      <left style="hair">
        <color theme="0" tint="-0.499984740745262"/>
      </left>
      <right style="thick">
        <color theme="1" tint="0.499984740745262"/>
      </right>
      <top style="hair">
        <color theme="0" tint="-0.499984740745262"/>
      </top>
      <bottom style="hair">
        <color theme="0" tint="-0.499984740745262"/>
      </bottom>
      <diagonal/>
    </border>
    <border>
      <left/>
      <right/>
      <top style="thin">
        <color theme="0"/>
      </top>
      <bottom style="thick">
        <color theme="1" tint="0.499984740745262"/>
      </bottom>
      <diagonal/>
    </border>
    <border>
      <left/>
      <right style="hair">
        <color theme="0" tint="-0.499984740745262"/>
      </right>
      <top style="hair">
        <color theme="0" tint="-0.499984740745262"/>
      </top>
      <bottom style="thick">
        <color theme="1" tint="0.499984740745262"/>
      </bottom>
      <diagonal/>
    </border>
    <border>
      <left style="hair">
        <color theme="0" tint="-0.499984740745262"/>
      </left>
      <right style="hair">
        <color theme="0" tint="-0.499984740745262"/>
      </right>
      <top style="hair">
        <color theme="0" tint="-0.499984740745262"/>
      </top>
      <bottom style="thick">
        <color theme="1" tint="0.499984740745262"/>
      </bottom>
      <diagonal/>
    </border>
    <border>
      <left style="hair">
        <color theme="0" tint="-0.499984740745262"/>
      </left>
      <right style="thick">
        <color theme="1" tint="0.499984740745262"/>
      </right>
      <top style="hair">
        <color theme="0" tint="-0.499984740745262"/>
      </top>
      <bottom style="thick">
        <color theme="1" tint="0.499984740745262"/>
      </bottom>
      <diagonal/>
    </border>
    <border>
      <left style="medium">
        <color theme="0" tint="-0.14996795556505021"/>
      </left>
      <right/>
      <top style="medium">
        <color theme="0" tint="-0.14996795556505021"/>
      </top>
      <bottom style="thin">
        <color theme="0"/>
      </bottom>
      <diagonal/>
    </border>
    <border>
      <left/>
      <right/>
      <top style="medium">
        <color theme="0" tint="-0.14996795556505021"/>
      </top>
      <bottom style="thin">
        <color theme="0"/>
      </bottom>
      <diagonal/>
    </border>
    <border>
      <left/>
      <right style="hair">
        <color theme="0" tint="-0.499984740745262"/>
      </right>
      <top style="medium">
        <color theme="0" tint="-0.14996795556505021"/>
      </top>
      <bottom style="hair">
        <color theme="0" tint="-0.499984740745262"/>
      </bottom>
      <diagonal/>
    </border>
    <border>
      <left style="hair">
        <color theme="0" tint="-0.499984740745262"/>
      </left>
      <right style="hair">
        <color theme="0" tint="-0.499984740745262"/>
      </right>
      <top style="medium">
        <color theme="0" tint="-0.14996795556505021"/>
      </top>
      <bottom style="hair">
        <color theme="0" tint="-0.499984740745262"/>
      </bottom>
      <diagonal/>
    </border>
    <border>
      <left style="hair">
        <color theme="0" tint="-0.499984740745262"/>
      </left>
      <right style="thick">
        <color theme="1" tint="0.499984740745262"/>
      </right>
      <top style="medium">
        <color theme="0" tint="-0.14996795556505021"/>
      </top>
      <bottom style="hair">
        <color theme="0" tint="-0.499984740745262"/>
      </bottom>
      <diagonal/>
    </border>
    <border>
      <left style="medium">
        <color theme="0" tint="-0.14996795556505021"/>
      </left>
      <right/>
      <top style="thin">
        <color theme="0"/>
      </top>
      <bottom style="thin">
        <color theme="0"/>
      </bottom>
      <diagonal/>
    </border>
    <border>
      <left style="medium">
        <color theme="0" tint="-0.14996795556505021"/>
      </left>
      <right/>
      <top style="thin">
        <color theme="0"/>
      </top>
      <bottom style="thick">
        <color theme="1" tint="0.499984740745262"/>
      </bottom>
      <diagonal/>
    </border>
    <border>
      <left/>
      <right/>
      <top style="medium">
        <color theme="0" tint="-0.24994659260841701"/>
      </top>
      <bottom style="hair">
        <color theme="0" tint="-0.499984740745262"/>
      </bottom>
      <diagonal/>
    </border>
    <border>
      <left style="medium">
        <color theme="0" tint="-0.24994659260841701"/>
      </left>
      <right/>
      <top style="thin">
        <color theme="0"/>
      </top>
      <bottom style="thin">
        <color theme="0"/>
      </bottom>
      <diagonal/>
    </border>
    <border>
      <left/>
      <right style="thick">
        <color theme="1" tint="0.499984740745262"/>
      </right>
      <top style="medium">
        <color theme="0" tint="-0.24994659260841701"/>
      </top>
      <bottom style="hair">
        <color theme="0" tint="-0.499984740745262"/>
      </bottom>
      <diagonal/>
    </border>
    <border>
      <left/>
      <right style="thick">
        <color theme="1" tint="0.499984740745262"/>
      </right>
      <top style="hair">
        <color theme="0" tint="-0.499984740745262"/>
      </top>
      <bottom style="hair">
        <color theme="0"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right/>
      <top style="thin">
        <color theme="0"/>
      </top>
      <bottom/>
      <diagonal/>
    </border>
    <border>
      <left/>
      <right/>
      <top style="hair">
        <color theme="0" tint="-0.499984740745262"/>
      </top>
      <bottom/>
      <diagonal/>
    </border>
    <border>
      <left/>
      <right style="thick">
        <color theme="1" tint="0.499984740745262"/>
      </right>
      <top style="hair">
        <color theme="0" tint="-0.499984740745262"/>
      </top>
      <bottom/>
      <diagonal/>
    </border>
    <border>
      <left style="medium">
        <color theme="0" tint="-0.24994659260841701"/>
      </left>
      <right/>
      <top style="thin">
        <color theme="0"/>
      </top>
      <bottom/>
      <diagonal/>
    </border>
    <border>
      <left style="medium">
        <color theme="0" tint="-0.24994659260841701"/>
      </left>
      <right/>
      <top/>
      <bottom style="thick">
        <color theme="1" tint="0.499984740745262"/>
      </bottom>
      <diagonal/>
    </border>
    <border>
      <left/>
      <right style="thick">
        <color theme="1" tint="0.499984740745262"/>
      </right>
      <top/>
      <bottom/>
      <diagonal/>
    </border>
    <border>
      <left style="medium">
        <color theme="0"/>
      </left>
      <right/>
      <top style="medium">
        <color theme="0" tint="-0.24994659260841701"/>
      </top>
      <bottom style="hair">
        <color theme="0" tint="-0.499984740745262"/>
      </bottom>
      <diagonal/>
    </border>
    <border>
      <left style="medium">
        <color theme="0" tint="-0.14996795556505021"/>
      </left>
      <right/>
      <top style="medium">
        <color theme="0" tint="-0.24994659260841701"/>
      </top>
      <bottom style="hair">
        <color theme="0" tint="-0.499984740745262"/>
      </bottom>
      <diagonal/>
    </border>
    <border>
      <left/>
      <right style="medium">
        <color theme="0"/>
      </right>
      <top style="medium">
        <color theme="0" tint="-0.24994659260841701"/>
      </top>
      <bottom style="hair">
        <color theme="0" tint="-0.499984740745262"/>
      </bottom>
      <diagonal/>
    </border>
    <border>
      <left/>
      <right/>
      <top style="medium">
        <color theme="0" tint="-0.24994659260841701"/>
      </top>
      <bottom/>
      <diagonal/>
    </border>
    <border>
      <left style="thin">
        <color theme="0"/>
      </left>
      <right/>
      <top style="thin">
        <color theme="0"/>
      </top>
      <bottom style="thick">
        <color theme="0" tint="-0.499984740745262"/>
      </bottom>
      <diagonal/>
    </border>
    <border>
      <left/>
      <right/>
      <top style="thin">
        <color theme="0"/>
      </top>
      <bottom style="thick">
        <color theme="0" tint="-0.499984740745262"/>
      </bottom>
      <diagonal/>
    </border>
    <border>
      <left style="medium">
        <color theme="0" tint="-0.24994659260841701"/>
      </left>
      <right/>
      <top style="medium">
        <color theme="0" tint="-0.24994659260841701"/>
      </top>
      <bottom/>
      <diagonal/>
    </border>
    <border>
      <left style="medium">
        <color theme="0" tint="-0.24994659260841701"/>
      </left>
      <right/>
      <top/>
      <bottom style="thin">
        <color theme="0"/>
      </bottom>
      <diagonal/>
    </border>
    <border>
      <left style="thick">
        <color theme="0"/>
      </left>
      <right/>
      <top style="thick">
        <color theme="0"/>
      </top>
      <bottom style="hair">
        <color theme="0" tint="-0.499984740745262"/>
      </bottom>
      <diagonal/>
    </border>
    <border>
      <left style="thick">
        <color theme="0"/>
      </left>
      <right/>
      <top style="hair">
        <color theme="0" tint="-0.499984740745262"/>
      </top>
      <bottom style="hair">
        <color theme="0" tint="-0.499984740745262"/>
      </bottom>
      <diagonal/>
    </border>
    <border>
      <left style="thick">
        <color theme="0"/>
      </left>
      <right/>
      <top style="thick">
        <color theme="0"/>
      </top>
      <bottom style="hair">
        <color theme="1" tint="0.499984740745262"/>
      </bottom>
      <diagonal/>
    </border>
    <border>
      <left/>
      <right/>
      <top style="thick">
        <color theme="0"/>
      </top>
      <bottom style="hair">
        <color theme="1" tint="0.499984740745262"/>
      </bottom>
      <diagonal/>
    </border>
    <border>
      <left style="thick">
        <color theme="0"/>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1" tint="0.499984740745262"/>
      </right>
      <top style="thick">
        <color theme="0" tint="-0.14996795556505021"/>
      </top>
      <bottom/>
      <diagonal/>
    </border>
    <border>
      <left style="thick">
        <color theme="0" tint="-0.14996795556505021"/>
      </left>
      <right/>
      <top/>
      <bottom/>
      <diagonal/>
    </border>
    <border>
      <left style="thick">
        <color theme="0" tint="-0.14996795556505021"/>
      </left>
      <right/>
      <top/>
      <bottom style="thick">
        <color theme="1" tint="0.499984740745262"/>
      </bottom>
      <diagonal/>
    </border>
    <border>
      <left style="medium">
        <color theme="0" tint="-0.34998626667073579"/>
      </left>
      <right/>
      <top style="medium">
        <color theme="0" tint="-0.24994659260841701"/>
      </top>
      <bottom/>
      <diagonal/>
    </border>
    <border>
      <left/>
      <right style="thin">
        <color theme="0"/>
      </right>
      <top style="medium">
        <color theme="0" tint="-0.24994659260841701"/>
      </top>
      <bottom/>
      <diagonal/>
    </border>
    <border>
      <left style="medium">
        <color theme="0" tint="-0.34998626667073579"/>
      </left>
      <right/>
      <top/>
      <bottom style="thin">
        <color theme="0"/>
      </bottom>
      <diagonal/>
    </border>
    <border>
      <left/>
      <right style="thin">
        <color theme="0"/>
      </right>
      <top/>
      <bottom style="thin">
        <color theme="0"/>
      </bottom>
      <diagonal/>
    </border>
  </borders>
  <cellStyleXfs count="7">
    <xf numFmtId="0" fontId="0" fillId="0" borderId="0">
      <alignment vertical="center"/>
    </xf>
    <xf numFmtId="0" fontId="1"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0"/>
    <xf numFmtId="38" fontId="1" fillId="0" borderId="0" applyFont="0" applyFill="0" applyBorder="0" applyAlignment="0" applyProtection="0">
      <alignment vertical="center"/>
    </xf>
  </cellStyleXfs>
  <cellXfs count="883">
    <xf numFmtId="0" fontId="0" fillId="0" borderId="0" xfId="0">
      <alignment vertical="center"/>
    </xf>
    <xf numFmtId="0" fontId="0" fillId="0" borderId="2" xfId="0" applyBorder="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0" xfId="1">
      <alignment vertical="center"/>
    </xf>
    <xf numFmtId="0" fontId="1" fillId="0" borderId="1" xfId="1" applyBorder="1">
      <alignment vertical="center"/>
    </xf>
    <xf numFmtId="0" fontId="2" fillId="2" borderId="1" xfId="0" applyFont="1" applyFill="1" applyBorder="1" applyAlignment="1">
      <alignment horizontal="center" vertical="center" wrapText="1"/>
    </xf>
    <xf numFmtId="0" fontId="0" fillId="0" borderId="0" xfId="1" applyFont="1">
      <alignment vertical="center"/>
    </xf>
    <xf numFmtId="176" fontId="1" fillId="0" borderId="1" xfId="1" applyNumberFormat="1" applyBorder="1">
      <alignment vertical="center"/>
    </xf>
    <xf numFmtId="0" fontId="1" fillId="0" borderId="5" xfId="1" applyBorder="1">
      <alignment vertical="center"/>
    </xf>
    <xf numFmtId="0" fontId="1" fillId="7" borderId="6" xfId="1" applyFill="1" applyBorder="1">
      <alignment vertical="center"/>
    </xf>
    <xf numFmtId="9" fontId="0" fillId="0" borderId="1" xfId="3" applyFont="1" applyBorder="1">
      <alignment vertical="center"/>
    </xf>
    <xf numFmtId="179" fontId="0" fillId="0" borderId="1" xfId="0" applyNumberForma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Border="1" applyAlignment="1">
      <alignment vertical="center" shrinkToFit="1"/>
    </xf>
    <xf numFmtId="0" fontId="0" fillId="5" borderId="1" xfId="1" applyFont="1" applyFill="1" applyBorder="1">
      <alignment vertical="center"/>
    </xf>
    <xf numFmtId="0" fontId="1" fillId="7" borderId="7" xfId="1" applyFill="1" applyBorder="1">
      <alignment vertical="center"/>
    </xf>
    <xf numFmtId="0" fontId="0" fillId="8" borderId="1" xfId="0" applyFill="1" applyBorder="1" applyAlignment="1">
      <alignment vertical="center" shrinkToFit="1"/>
    </xf>
    <xf numFmtId="0" fontId="1" fillId="10" borderId="1" xfId="1" applyFill="1" applyBorder="1" applyAlignment="1">
      <alignment horizontal="left" vertical="center"/>
    </xf>
    <xf numFmtId="0" fontId="12" fillId="0" borderId="0" xfId="0" applyFont="1">
      <alignment vertical="center"/>
    </xf>
    <xf numFmtId="0" fontId="18" fillId="0" borderId="0" xfId="0" applyFont="1">
      <alignment vertical="center"/>
    </xf>
    <xf numFmtId="0" fontId="2" fillId="2" borderId="10" xfId="0" applyFont="1" applyFill="1" applyBorder="1" applyAlignment="1">
      <alignment horizontal="center" vertical="center" wrapText="1"/>
    </xf>
    <xf numFmtId="0" fontId="17" fillId="2" borderId="12" xfId="0" applyFont="1" applyFill="1" applyBorder="1" applyAlignment="1">
      <alignment horizontal="center" vertical="center"/>
    </xf>
    <xf numFmtId="0" fontId="16" fillId="2"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0" xfId="0" applyBorder="1" applyAlignment="1">
      <alignment vertical="center" shrinkToFit="1"/>
    </xf>
    <xf numFmtId="0" fontId="0" fillId="8" borderId="10" xfId="0" applyFill="1" applyBorder="1" applyAlignment="1">
      <alignment vertical="center" shrinkToFit="1"/>
    </xf>
    <xf numFmtId="0" fontId="0" fillId="0" borderId="11" xfId="0" applyBorder="1" applyAlignment="1">
      <alignment horizontal="center" vertical="center"/>
    </xf>
    <xf numFmtId="179" fontId="0" fillId="0" borderId="11" xfId="0" applyNumberFormat="1" applyBorder="1" applyAlignment="1">
      <alignment horizontal="center" vertical="center"/>
    </xf>
    <xf numFmtId="0" fontId="0" fillId="0" borderId="15" xfId="0" applyBorder="1" applyAlignment="1">
      <alignment horizontal="center" vertical="center"/>
    </xf>
    <xf numFmtId="0" fontId="2" fillId="0" borderId="16" xfId="0" applyFont="1" applyBorder="1" applyAlignment="1">
      <alignment horizontal="center" vertical="center"/>
    </xf>
    <xf numFmtId="0" fontId="2" fillId="0" borderId="16" xfId="0" applyFont="1" applyFill="1" applyBorder="1" applyAlignment="1">
      <alignment horizontal="left" vertical="center" wrapText="1"/>
    </xf>
    <xf numFmtId="179" fontId="0" fillId="0" borderId="16" xfId="0" applyNumberFormat="1" applyBorder="1" applyAlignment="1">
      <alignment horizontal="center" vertical="center"/>
    </xf>
    <xf numFmtId="0" fontId="2" fillId="0" borderId="18" xfId="0" applyFont="1" applyBorder="1" applyAlignment="1">
      <alignment horizontal="center" vertical="center"/>
    </xf>
    <xf numFmtId="0" fontId="2" fillId="0" borderId="18" xfId="0" applyFont="1" applyFill="1" applyBorder="1" applyAlignment="1">
      <alignment horizontal="left" vertical="center" wrapText="1"/>
    </xf>
    <xf numFmtId="0" fontId="3" fillId="0" borderId="18" xfId="0" applyFont="1" applyFill="1" applyBorder="1" applyAlignment="1">
      <alignment horizontal="left" vertical="center" wrapText="1"/>
    </xf>
    <xf numFmtId="179" fontId="0" fillId="0" borderId="18" xfId="0" applyNumberFormat="1" applyBorder="1" applyAlignment="1">
      <alignment horizontal="center" vertical="center"/>
    </xf>
    <xf numFmtId="179" fontId="0" fillId="0" borderId="19" xfId="0" applyNumberFormat="1" applyBorder="1" applyAlignment="1">
      <alignment horizontal="center" vertical="center"/>
    </xf>
    <xf numFmtId="0" fontId="2" fillId="0" borderId="12" xfId="0" applyFont="1" applyBorder="1" applyAlignment="1">
      <alignment horizontal="center" vertical="center"/>
    </xf>
    <xf numFmtId="0" fontId="2" fillId="0" borderId="12" xfId="0" applyFont="1" applyFill="1" applyBorder="1" applyAlignment="1">
      <alignment horizontal="left" vertical="center" wrapText="1"/>
    </xf>
    <xf numFmtId="179" fontId="0" fillId="0" borderId="12" xfId="0" applyNumberFormat="1" applyBorder="1" applyAlignment="1">
      <alignment horizontal="center" vertical="center"/>
    </xf>
    <xf numFmtId="0" fontId="0" fillId="0" borderId="14" xfId="0" applyBorder="1" applyAlignment="1">
      <alignment horizontal="center" vertical="center"/>
    </xf>
    <xf numFmtId="0" fontId="2" fillId="0" borderId="20" xfId="0" applyFont="1" applyBorder="1" applyAlignment="1">
      <alignment horizontal="center" vertical="center"/>
    </xf>
    <xf numFmtId="0" fontId="2" fillId="0" borderId="20" xfId="0" applyFont="1" applyFill="1" applyBorder="1" applyAlignment="1">
      <alignment horizontal="left" vertical="center" wrapText="1"/>
    </xf>
    <xf numFmtId="179" fontId="0" fillId="0" borderId="20" xfId="0" applyNumberFormat="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178" fontId="0" fillId="0" borderId="1" xfId="3" applyNumberFormat="1" applyFont="1" applyBorder="1" applyAlignment="1">
      <alignment horizontal="center" vertical="center"/>
    </xf>
    <xf numFmtId="178" fontId="0" fillId="0" borderId="18" xfId="3" applyNumberFormat="1" applyFont="1" applyBorder="1" applyAlignment="1">
      <alignment horizontal="center" vertical="center"/>
    </xf>
    <xf numFmtId="178" fontId="0" fillId="0" borderId="12" xfId="3" applyNumberFormat="1" applyFont="1" applyBorder="1" applyAlignment="1">
      <alignment horizontal="center" vertical="center"/>
    </xf>
    <xf numFmtId="178" fontId="0" fillId="0" borderId="16" xfId="3" applyNumberFormat="1" applyFont="1" applyBorder="1" applyAlignment="1">
      <alignment horizontal="center" vertical="center"/>
    </xf>
    <xf numFmtId="178" fontId="0" fillId="0" borderId="20" xfId="3" applyNumberFormat="1" applyFont="1" applyBorder="1" applyAlignment="1">
      <alignment horizontal="center" vertical="center"/>
    </xf>
    <xf numFmtId="0" fontId="0" fillId="0" borderId="1" xfId="0" applyBorder="1" applyAlignment="1">
      <alignment vertical="center" wrapText="1"/>
    </xf>
    <xf numFmtId="0" fontId="0" fillId="0" borderId="8" xfId="0"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180" fontId="0" fillId="3" borderId="1" xfId="0" applyNumberFormat="1" applyFill="1" applyBorder="1">
      <alignment vertical="center"/>
    </xf>
    <xf numFmtId="0" fontId="9" fillId="3" borderId="1" xfId="0" applyFont="1" applyFill="1" applyBorder="1" applyAlignment="1">
      <alignment vertical="center" wrapText="1"/>
    </xf>
    <xf numFmtId="5" fontId="0" fillId="10" borderId="1" xfId="0" applyNumberFormat="1" applyFill="1" applyBorder="1">
      <alignment vertical="center"/>
    </xf>
    <xf numFmtId="0" fontId="9" fillId="10" borderId="1" xfId="0" applyFont="1" applyFill="1" applyBorder="1">
      <alignment vertical="center"/>
    </xf>
    <xf numFmtId="177" fontId="0" fillId="10" borderId="1" xfId="0" applyNumberFormat="1" applyFill="1" applyBorder="1">
      <alignment vertical="center"/>
    </xf>
    <xf numFmtId="0" fontId="9" fillId="10" borderId="1" xfId="0" applyFont="1" applyFill="1" applyBorder="1" applyAlignment="1">
      <alignment vertical="center" wrapText="1"/>
    </xf>
    <xf numFmtId="181" fontId="0" fillId="10" borderId="1" xfId="0" applyNumberFormat="1" applyFill="1" applyBorder="1">
      <alignment vertical="center"/>
    </xf>
    <xf numFmtId="0" fontId="0" fillId="0" borderId="1" xfId="0" applyFill="1" applyBorder="1">
      <alignment vertical="center"/>
    </xf>
    <xf numFmtId="0" fontId="11" fillId="0" borderId="1" xfId="0" applyFont="1" applyFill="1" applyBorder="1" applyAlignment="1">
      <alignment vertical="center" wrapText="1"/>
    </xf>
    <xf numFmtId="0" fontId="11" fillId="10" borderId="1" xfId="0" applyFont="1" applyFill="1" applyBorder="1" applyAlignment="1">
      <alignment vertical="center" wrapText="1"/>
    </xf>
    <xf numFmtId="0" fontId="9" fillId="10" borderId="1" xfId="0" applyFont="1" applyFill="1" applyBorder="1" applyAlignment="1">
      <alignment horizontal="center" vertical="center" wrapText="1"/>
    </xf>
    <xf numFmtId="176" fontId="0" fillId="0" borderId="1" xfId="0" applyNumberFormat="1" applyBorder="1">
      <alignment vertical="center"/>
    </xf>
    <xf numFmtId="38" fontId="0" fillId="0" borderId="1" xfId="4" applyFont="1" applyBorder="1">
      <alignment vertical="center"/>
    </xf>
    <xf numFmtId="38" fontId="0" fillId="0" borderId="1" xfId="4" applyNumberFormat="1" applyFont="1" applyBorder="1">
      <alignment vertical="center"/>
    </xf>
    <xf numFmtId="0" fontId="0" fillId="6" borderId="1" xfId="0" applyFill="1" applyBorder="1">
      <alignment vertical="center"/>
    </xf>
    <xf numFmtId="38" fontId="0" fillId="0" borderId="1" xfId="0" applyNumberFormat="1" applyBorder="1">
      <alignment vertical="center"/>
    </xf>
    <xf numFmtId="38" fontId="0" fillId="10" borderId="1" xfId="4" applyFont="1" applyFill="1" applyBorder="1">
      <alignment vertical="center"/>
    </xf>
    <xf numFmtId="0" fontId="0" fillId="0" borderId="0" xfId="0" applyBorder="1">
      <alignment vertical="center"/>
    </xf>
    <xf numFmtId="0" fontId="2" fillId="0" borderId="18" xfId="0" applyFont="1" applyFill="1" applyBorder="1" applyAlignment="1">
      <alignment vertical="center" wrapText="1"/>
    </xf>
    <xf numFmtId="9" fontId="0" fillId="0" borderId="1" xfId="0" applyNumberFormat="1" applyFill="1" applyBorder="1">
      <alignment vertical="center"/>
    </xf>
    <xf numFmtId="9" fontId="0" fillId="0" borderId="18" xfId="0" applyNumberFormat="1" applyFill="1" applyBorder="1">
      <alignment vertical="center"/>
    </xf>
    <xf numFmtId="9" fontId="0" fillId="0" borderId="12" xfId="0" applyNumberFormat="1" applyFill="1" applyBorder="1">
      <alignment vertical="center"/>
    </xf>
    <xf numFmtId="9" fontId="0" fillId="0" borderId="16" xfId="0" applyNumberFormat="1" applyFill="1" applyBorder="1">
      <alignment vertical="center"/>
    </xf>
    <xf numFmtId="9" fontId="0" fillId="0" borderId="20" xfId="0" applyNumberFormat="1" applyFill="1" applyBorder="1">
      <alignment vertical="center"/>
    </xf>
    <xf numFmtId="0" fontId="2" fillId="12" borderId="1" xfId="0" applyFont="1" applyFill="1" applyBorder="1" applyAlignment="1">
      <alignment horizontal="center" vertical="center" wrapText="1"/>
    </xf>
    <xf numFmtId="38" fontId="0" fillId="13" borderId="1" xfId="4" applyFont="1" applyFill="1" applyBorder="1">
      <alignment vertical="center"/>
    </xf>
    <xf numFmtId="182" fontId="0" fillId="0" borderId="1" xfId="4" applyNumberFormat="1" applyFont="1" applyBorder="1">
      <alignment vertical="center"/>
    </xf>
    <xf numFmtId="179" fontId="0" fillId="0" borderId="1" xfId="3" applyNumberFormat="1" applyFont="1" applyBorder="1">
      <alignment vertical="center"/>
    </xf>
    <xf numFmtId="0" fontId="0" fillId="0" borderId="1" xfId="0" applyBorder="1" applyAlignment="1">
      <alignment horizontal="right" vertical="center"/>
    </xf>
    <xf numFmtId="0" fontId="0" fillId="0" borderId="0" xfId="0" applyFill="1" applyBorder="1">
      <alignment vertical="center"/>
    </xf>
    <xf numFmtId="0" fontId="0" fillId="0" borderId="0" xfId="0" applyAlignment="1">
      <alignment vertical="center" wrapText="1"/>
    </xf>
    <xf numFmtId="9" fontId="0" fillId="0" borderId="1" xfId="3" applyFont="1" applyFill="1" applyBorder="1">
      <alignment vertical="center"/>
    </xf>
    <xf numFmtId="38" fontId="0" fillId="13" borderId="1" xfId="0" applyNumberFormat="1" applyFill="1" applyBorder="1">
      <alignment vertical="center"/>
    </xf>
    <xf numFmtId="0" fontId="19" fillId="0" borderId="0" xfId="0" applyFont="1">
      <alignment vertical="center"/>
    </xf>
    <xf numFmtId="0" fontId="19" fillId="0" borderId="0" xfId="0" applyFont="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0" fillId="0" borderId="0" xfId="0" applyFill="1" applyBorder="1" applyAlignment="1">
      <alignment horizontal="center" vertical="center"/>
    </xf>
    <xf numFmtId="9" fontId="0" fillId="0" borderId="0" xfId="3" applyFont="1" applyFill="1" applyBorder="1">
      <alignment vertical="center"/>
    </xf>
    <xf numFmtId="0" fontId="19" fillId="0" borderId="0" xfId="0" applyFont="1" applyFill="1" applyBorder="1" applyAlignment="1">
      <alignment vertical="center" textRotation="255"/>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0" fillId="3" borderId="1"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20" xfId="0" applyFill="1" applyBorder="1" applyAlignment="1">
      <alignment horizontal="center" vertical="center" shrinkToFit="1"/>
    </xf>
    <xf numFmtId="0" fontId="2" fillId="2" borderId="1" xfId="0" applyFont="1" applyFill="1" applyBorder="1" applyAlignment="1">
      <alignment horizontal="center" vertical="center" wrapText="1"/>
    </xf>
    <xf numFmtId="0" fontId="1" fillId="4" borderId="1" xfId="1" applyFill="1" applyBorder="1" applyAlignment="1">
      <alignment horizontal="center" vertical="center"/>
    </xf>
    <xf numFmtId="0" fontId="0" fillId="4" borderId="1" xfId="1" applyFont="1" applyFill="1" applyBorder="1" applyAlignment="1">
      <alignment horizontal="center" vertical="center"/>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28" xfId="0" applyBorder="1" applyAlignment="1">
      <alignment vertical="center" wrapText="1"/>
    </xf>
    <xf numFmtId="0" fontId="0" fillId="0" borderId="20" xfId="0" applyBorder="1" applyAlignment="1">
      <alignment vertical="center" wrapText="1"/>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2" borderId="18" xfId="0" applyFont="1" applyFill="1" applyBorder="1" applyAlignment="1">
      <alignment horizontal="center" vertical="center"/>
    </xf>
    <xf numFmtId="0" fontId="0" fillId="14" borderId="1" xfId="0" applyFill="1" applyBorder="1" applyAlignment="1">
      <alignment vertical="center" wrapText="1"/>
    </xf>
    <xf numFmtId="0" fontId="1" fillId="4" borderId="18" xfId="1" applyFill="1" applyBorder="1" applyAlignment="1">
      <alignment horizontal="center" vertical="center"/>
    </xf>
    <xf numFmtId="184" fontId="31" fillId="0" borderId="0" xfId="4" applyNumberFormat="1" applyFont="1" applyBorder="1" applyAlignment="1">
      <alignment vertical="center" shrinkToFit="1"/>
    </xf>
    <xf numFmtId="0" fontId="28" fillId="0" borderId="0" xfId="0" applyFont="1" applyBorder="1" applyAlignment="1">
      <alignment vertical="center" wrapText="1"/>
    </xf>
    <xf numFmtId="0" fontId="28" fillId="0" borderId="0" xfId="0" applyFont="1" applyBorder="1" applyAlignment="1">
      <alignment vertical="center"/>
    </xf>
    <xf numFmtId="176" fontId="1" fillId="9" borderId="1" xfId="1" applyNumberFormat="1" applyFill="1" applyBorder="1">
      <alignment vertical="center"/>
    </xf>
    <xf numFmtId="1" fontId="1" fillId="9" borderId="1" xfId="1" applyNumberFormat="1" applyFill="1" applyBorder="1">
      <alignment vertical="center"/>
    </xf>
    <xf numFmtId="0" fontId="8" fillId="8" borderId="1" xfId="1" applyFont="1" applyFill="1" applyBorder="1" applyAlignment="1">
      <alignment horizontal="center" vertical="center" wrapText="1"/>
    </xf>
    <xf numFmtId="0" fontId="10" fillId="8" borderId="1" xfId="1" applyFont="1" applyFill="1" applyBorder="1" applyAlignment="1">
      <alignment horizontal="center" vertical="center" wrapText="1"/>
    </xf>
    <xf numFmtId="0" fontId="1" fillId="8" borderId="29" xfId="1" applyFill="1" applyBorder="1">
      <alignment vertical="center"/>
    </xf>
    <xf numFmtId="0" fontId="1" fillId="0" borderId="1" xfId="1" applyFill="1" applyBorder="1" applyAlignment="1">
      <alignment horizontal="left" vertical="center"/>
    </xf>
    <xf numFmtId="0" fontId="1" fillId="9" borderId="1" xfId="1" applyFill="1" applyBorder="1">
      <alignment vertical="center"/>
    </xf>
    <xf numFmtId="0" fontId="1" fillId="5" borderId="1" xfId="1" applyFill="1" applyBorder="1">
      <alignment vertical="center"/>
    </xf>
    <xf numFmtId="38" fontId="0" fillId="0" borderId="1" xfId="4" applyFont="1" applyFill="1" applyBorder="1">
      <alignment vertical="center"/>
    </xf>
    <xf numFmtId="0" fontId="0" fillId="0" borderId="1" xfId="0" applyBorder="1" applyAlignment="1">
      <alignment horizontal="center" vertical="center"/>
    </xf>
    <xf numFmtId="0" fontId="35" fillId="0" borderId="0" xfId="5" applyFont="1"/>
    <xf numFmtId="0" fontId="35" fillId="0" borderId="0" xfId="5" applyFont="1" applyFill="1"/>
    <xf numFmtId="0" fontId="35" fillId="0" borderId="0" xfId="5" applyFont="1" applyAlignment="1">
      <alignment wrapText="1"/>
    </xf>
    <xf numFmtId="0" fontId="35" fillId="0" borderId="0" xfId="5" applyFont="1" applyFill="1" applyBorder="1"/>
    <xf numFmtId="0" fontId="35" fillId="0" borderId="1" xfId="5" applyFont="1" applyBorder="1"/>
    <xf numFmtId="0" fontId="38" fillId="11" borderId="1" xfId="5" applyFont="1" applyFill="1" applyBorder="1" applyAlignment="1">
      <alignment horizontal="center" vertical="center" wrapText="1"/>
    </xf>
    <xf numFmtId="0" fontId="38" fillId="0" borderId="0" xfId="5" applyFont="1" applyFill="1" applyBorder="1" applyAlignment="1">
      <alignment horizontal="center" vertical="center" wrapText="1"/>
    </xf>
    <xf numFmtId="0" fontId="11" fillId="0" borderId="1" xfId="5" applyFont="1" applyBorder="1" applyAlignment="1">
      <alignment horizontal="center" vertical="center" wrapText="1"/>
    </xf>
    <xf numFmtId="0" fontId="35" fillId="0" borderId="0" xfId="5" applyFont="1" applyBorder="1"/>
    <xf numFmtId="0" fontId="38" fillId="0" borderId="1" xfId="5" applyFont="1" applyBorder="1" applyAlignment="1">
      <alignment horizontal="center" vertical="center"/>
    </xf>
    <xf numFmtId="0" fontId="11" fillId="0" borderId="1" xfId="5" applyFont="1" applyFill="1" applyBorder="1" applyAlignment="1">
      <alignment horizontal="left" vertical="center" wrapText="1"/>
    </xf>
    <xf numFmtId="0" fontId="38" fillId="0" borderId="1" xfId="5" applyFont="1" applyBorder="1" applyAlignment="1">
      <alignment horizontal="left" vertical="center" wrapText="1"/>
    </xf>
    <xf numFmtId="0" fontId="40" fillId="0" borderId="1" xfId="5" applyFont="1" applyFill="1" applyBorder="1" applyAlignment="1">
      <alignment horizontal="center" vertical="center" wrapText="1"/>
    </xf>
    <xf numFmtId="0" fontId="40" fillId="0" borderId="1" xfId="5" applyFont="1" applyBorder="1" applyAlignment="1">
      <alignment horizontal="center" vertical="center"/>
    </xf>
    <xf numFmtId="0" fontId="35" fillId="0" borderId="0" xfId="5" applyNumberFormat="1" applyFont="1"/>
    <xf numFmtId="0" fontId="40" fillId="0" borderId="1" xfId="5" applyFont="1" applyFill="1" applyBorder="1" applyAlignment="1">
      <alignment horizontal="center" vertical="center"/>
    </xf>
    <xf numFmtId="0" fontId="40" fillId="6" borderId="1" xfId="5" applyFont="1" applyFill="1" applyBorder="1" applyAlignment="1">
      <alignment horizontal="center" vertical="center"/>
    </xf>
    <xf numFmtId="0" fontId="35" fillId="6" borderId="0" xfId="5" applyFont="1" applyFill="1"/>
    <xf numFmtId="0" fontId="11" fillId="11" borderId="1" xfId="5" applyFont="1" applyFill="1" applyBorder="1" applyAlignment="1">
      <alignment horizontal="left" vertical="center" wrapText="1"/>
    </xf>
    <xf numFmtId="0" fontId="38" fillId="0" borderId="1" xfId="5" applyFont="1" applyFill="1" applyBorder="1" applyAlignment="1">
      <alignment horizontal="left" vertical="center"/>
    </xf>
    <xf numFmtId="0" fontId="40" fillId="11" borderId="1" xfId="5" applyFont="1" applyFill="1" applyBorder="1" applyAlignment="1">
      <alignment horizontal="center" vertical="center"/>
    </xf>
    <xf numFmtId="0" fontId="40" fillId="11" borderId="1" xfId="5" applyFont="1" applyFill="1" applyBorder="1" applyAlignment="1">
      <alignment horizontal="left" vertical="center"/>
    </xf>
    <xf numFmtId="0" fontId="11" fillId="0" borderId="1" xfId="5" applyFont="1" applyFill="1" applyBorder="1" applyAlignment="1">
      <alignment horizontal="center" vertical="center" wrapText="1"/>
    </xf>
    <xf numFmtId="0" fontId="11" fillId="0" borderId="28" xfId="5" applyFont="1" applyFill="1" applyBorder="1" applyAlignment="1">
      <alignment horizontal="center" vertical="center" wrapText="1"/>
    </xf>
    <xf numFmtId="3" fontId="40" fillId="0" borderId="1" xfId="5" applyNumberFormat="1" applyFont="1" applyFill="1" applyBorder="1" applyAlignment="1">
      <alignment horizontal="center" vertical="center" wrapText="1"/>
    </xf>
    <xf numFmtId="0" fontId="40" fillId="0" borderId="1" xfId="5" applyFont="1" applyFill="1" applyBorder="1" applyAlignment="1">
      <alignment horizontal="left" vertical="center" wrapText="1"/>
    </xf>
    <xf numFmtId="0" fontId="35" fillId="0" borderId="0" xfId="5" quotePrefix="1" applyFont="1" applyFill="1" applyBorder="1"/>
    <xf numFmtId="0" fontId="40" fillId="0" borderId="1" xfId="5" applyFont="1" applyFill="1" applyBorder="1" applyAlignment="1">
      <alignment horizontal="left" vertical="center"/>
    </xf>
    <xf numFmtId="1" fontId="40" fillId="6" borderId="1" xfId="5" applyNumberFormat="1" applyFont="1" applyFill="1" applyBorder="1" applyAlignment="1">
      <alignment horizontal="center" vertical="center"/>
    </xf>
    <xf numFmtId="0" fontId="38" fillId="0" borderId="0" xfId="5" applyFont="1" applyFill="1" applyBorder="1" applyAlignment="1">
      <alignment horizontal="left" vertical="center"/>
    </xf>
    <xf numFmtId="0" fontId="35" fillId="11" borderId="27" xfId="5" applyFont="1" applyFill="1" applyBorder="1" applyAlignment="1"/>
    <xf numFmtId="0" fontId="35" fillId="11" borderId="10" xfId="5" applyFont="1" applyFill="1" applyBorder="1" applyAlignment="1"/>
    <xf numFmtId="0" fontId="35" fillId="11" borderId="18" xfId="5" applyFont="1" applyFill="1" applyBorder="1" applyAlignment="1">
      <alignment horizontal="center"/>
    </xf>
    <xf numFmtId="0" fontId="38" fillId="11" borderId="18" xfId="5" applyFont="1" applyFill="1" applyBorder="1" applyAlignment="1">
      <alignment horizontal="center" vertical="center" wrapText="1"/>
    </xf>
    <xf numFmtId="0" fontId="35" fillId="0" borderId="0" xfId="5" applyFont="1" applyAlignment="1">
      <alignment horizontal="center" wrapText="1"/>
    </xf>
    <xf numFmtId="0" fontId="35" fillId="0" borderId="0" xfId="5" applyFont="1" applyAlignment="1">
      <alignment horizontal="right" wrapText="1"/>
    </xf>
    <xf numFmtId="0" fontId="38" fillId="0" borderId="0" xfId="5" applyFont="1" applyFill="1" applyBorder="1" applyAlignment="1">
      <alignment horizontal="right" vertical="center" wrapText="1"/>
    </xf>
    <xf numFmtId="0" fontId="35" fillId="0" borderId="0" xfId="5" applyFont="1" applyAlignment="1">
      <alignment horizontal="right"/>
    </xf>
    <xf numFmtId="0" fontId="11" fillId="0" borderId="1" xfId="5" applyFont="1" applyBorder="1" applyAlignment="1">
      <alignment horizontal="right" vertical="center" wrapText="1"/>
    </xf>
    <xf numFmtId="0" fontId="11" fillId="0" borderId="1" xfId="5" applyFont="1" applyFill="1" applyBorder="1" applyAlignment="1">
      <alignment horizontal="right" vertical="center"/>
    </xf>
    <xf numFmtId="0" fontId="11" fillId="11" borderId="1" xfId="5" applyFont="1" applyFill="1" applyBorder="1" applyAlignment="1">
      <alignment horizontal="right" vertical="center"/>
    </xf>
    <xf numFmtId="0" fontId="11" fillId="0" borderId="1" xfId="5" applyFont="1" applyFill="1" applyBorder="1" applyAlignment="1">
      <alignment horizontal="right" vertical="center" wrapText="1"/>
    </xf>
    <xf numFmtId="0" fontId="11" fillId="11" borderId="1" xfId="5" applyFont="1" applyFill="1" applyBorder="1" applyAlignment="1">
      <alignment horizontal="center" vertical="center" wrapText="1"/>
    </xf>
    <xf numFmtId="0" fontId="11" fillId="11" borderId="1" xfId="5" applyFont="1" applyFill="1" applyBorder="1" applyAlignment="1">
      <alignment horizontal="right" vertical="center" wrapText="1"/>
    </xf>
    <xf numFmtId="0" fontId="41" fillId="0" borderId="1" xfId="5" applyFont="1" applyFill="1" applyBorder="1" applyAlignment="1">
      <alignment horizontal="center" vertical="center" wrapText="1"/>
    </xf>
    <xf numFmtId="178" fontId="0" fillId="0" borderId="1" xfId="3" applyNumberFormat="1" applyFont="1" applyBorder="1" applyAlignment="1">
      <alignment horizontal="right" vertical="center"/>
    </xf>
    <xf numFmtId="0" fontId="38" fillId="11" borderId="18" xfId="5" applyFont="1" applyFill="1" applyBorder="1" applyAlignment="1">
      <alignment vertical="center" wrapText="1"/>
    </xf>
    <xf numFmtId="0" fontId="38" fillId="11" borderId="18" xfId="5" applyFont="1" applyFill="1" applyBorder="1" applyAlignment="1">
      <alignment vertical="center"/>
    </xf>
    <xf numFmtId="0" fontId="38" fillId="11" borderId="20" xfId="5" applyFont="1" applyFill="1" applyBorder="1" applyAlignment="1">
      <alignment horizontal="center" vertical="top" wrapText="1"/>
    </xf>
    <xf numFmtId="0" fontId="44" fillId="11" borderId="28" xfId="5" applyFont="1" applyFill="1" applyBorder="1" applyAlignment="1">
      <alignment horizontal="center" vertical="top"/>
    </xf>
    <xf numFmtId="0" fontId="44" fillId="11" borderId="20" xfId="5" applyFont="1" applyFill="1" applyBorder="1" applyAlignment="1">
      <alignment horizontal="center" vertical="top"/>
    </xf>
    <xf numFmtId="0" fontId="44" fillId="11" borderId="20" xfId="5" applyFont="1" applyFill="1" applyBorder="1" applyAlignment="1">
      <alignment horizontal="center" vertical="top" wrapText="1"/>
    </xf>
    <xf numFmtId="0" fontId="44" fillId="11" borderId="28" xfId="5" applyFont="1" applyFill="1" applyBorder="1" applyAlignment="1">
      <alignment horizontal="center" vertical="top" wrapText="1"/>
    </xf>
    <xf numFmtId="0" fontId="10" fillId="11" borderId="5" xfId="5" applyFont="1" applyFill="1" applyBorder="1" applyAlignment="1"/>
    <xf numFmtId="0" fontId="19" fillId="0" borderId="0" xfId="0" applyFont="1" applyBorder="1" applyAlignment="1">
      <alignment horizontal="left" vertical="center" indent="1"/>
    </xf>
    <xf numFmtId="185" fontId="19" fillId="0" borderId="0" xfId="4" applyNumberFormat="1" applyFont="1" applyFill="1" applyBorder="1" applyAlignment="1">
      <alignment horizontal="right" vertical="center"/>
    </xf>
    <xf numFmtId="0" fontId="19" fillId="0" borderId="0" xfId="0" applyFont="1" applyBorder="1" applyAlignment="1">
      <alignment horizontal="center" vertical="center"/>
    </xf>
    <xf numFmtId="0" fontId="0" fillId="0" borderId="1" xfId="0" applyFill="1" applyBorder="1" applyAlignment="1">
      <alignment vertical="center"/>
    </xf>
    <xf numFmtId="178" fontId="0" fillId="0" borderId="1" xfId="3" applyNumberFormat="1" applyFont="1" applyBorder="1">
      <alignment vertical="center"/>
    </xf>
    <xf numFmtId="0" fontId="35" fillId="11" borderId="1" xfId="5" applyFont="1" applyFill="1" applyBorder="1"/>
    <xf numFmtId="186" fontId="41" fillId="0" borderId="1" xfId="5" applyNumberFormat="1" applyFont="1" applyBorder="1" applyAlignment="1">
      <alignment horizontal="center" vertical="center" wrapText="1"/>
    </xf>
    <xf numFmtId="0" fontId="35" fillId="0" borderId="1" xfId="5" applyFont="1" applyFill="1" applyBorder="1"/>
    <xf numFmtId="178" fontId="0" fillId="0" borderId="1" xfId="0" applyNumberFormat="1" applyBorder="1">
      <alignment vertical="center"/>
    </xf>
    <xf numFmtId="178" fontId="0" fillId="0" borderId="18" xfId="0" applyNumberFormat="1" applyBorder="1">
      <alignment vertical="center"/>
    </xf>
    <xf numFmtId="178" fontId="0" fillId="0" borderId="12" xfId="0" applyNumberFormat="1" applyBorder="1">
      <alignment vertical="center"/>
    </xf>
    <xf numFmtId="178" fontId="0" fillId="0" borderId="16" xfId="0" applyNumberFormat="1" applyBorder="1">
      <alignment vertical="center"/>
    </xf>
    <xf numFmtId="178" fontId="0" fillId="0" borderId="20" xfId="0" applyNumberFormat="1" applyBorder="1">
      <alignment vertical="center"/>
    </xf>
    <xf numFmtId="186" fontId="11" fillId="0" borderId="1" xfId="5" applyNumberFormat="1" applyFont="1" applyBorder="1" applyAlignment="1">
      <alignment horizontal="right" vertical="center" wrapText="1"/>
    </xf>
    <xf numFmtId="0" fontId="38" fillId="16" borderId="18" xfId="5" applyFont="1" applyFill="1" applyBorder="1" applyAlignment="1">
      <alignment vertical="center" wrapText="1"/>
    </xf>
    <xf numFmtId="38" fontId="35" fillId="0" borderId="1" xfId="4" applyFont="1" applyBorder="1" applyAlignment="1"/>
    <xf numFmtId="177" fontId="15" fillId="10" borderId="1" xfId="0" applyNumberFormat="1" applyFont="1" applyFill="1" applyBorder="1">
      <alignment vertical="center"/>
    </xf>
    <xf numFmtId="177" fontId="15" fillId="0" borderId="1" xfId="0" applyNumberFormat="1" applyFont="1" applyFill="1" applyBorder="1">
      <alignment vertical="center"/>
    </xf>
    <xf numFmtId="0" fontId="35" fillId="0" borderId="0" xfId="5" applyFont="1" applyAlignment="1">
      <alignment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shrinkToFit="1"/>
    </xf>
    <xf numFmtId="187" fontId="19" fillId="0" borderId="0" xfId="0" applyNumberFormat="1" applyFont="1" applyFill="1" applyBorder="1" applyAlignment="1">
      <alignment horizontal="right" vertical="center" wrapText="1"/>
    </xf>
    <xf numFmtId="0" fontId="10" fillId="0" borderId="0" xfId="1" applyFont="1" applyFill="1" applyBorder="1" applyAlignment="1">
      <alignment horizontal="left" vertical="center" wrapText="1"/>
    </xf>
    <xf numFmtId="176" fontId="35" fillId="0" borderId="0" xfId="5" applyNumberFormat="1" applyFont="1" applyBorder="1"/>
    <xf numFmtId="0" fontId="35" fillId="0" borderId="0" xfId="5" applyFont="1" applyBorder="1" applyAlignment="1">
      <alignment vertical="center"/>
    </xf>
    <xf numFmtId="0" fontId="35" fillId="0" borderId="0" xfId="5" applyFont="1" applyAlignment="1">
      <alignment vertical="top"/>
    </xf>
    <xf numFmtId="0" fontId="35" fillId="11" borderId="1" xfId="5" applyFont="1" applyFill="1" applyBorder="1" applyAlignment="1">
      <alignment horizontal="center"/>
    </xf>
    <xf numFmtId="0" fontId="35" fillId="0" borderId="1" xfId="5" applyFont="1" applyFill="1" applyBorder="1" applyAlignment="1"/>
    <xf numFmtId="0" fontId="35" fillId="11" borderId="20" xfId="5" applyFont="1" applyFill="1" applyBorder="1"/>
    <xf numFmtId="0" fontId="35" fillId="0" borderId="27" xfId="5" applyFont="1" applyFill="1" applyBorder="1" applyAlignment="1">
      <alignment vertical="center" wrapText="1"/>
    </xf>
    <xf numFmtId="0" fontId="35" fillId="0" borderId="27" xfId="5" applyFont="1" applyBorder="1" applyAlignment="1"/>
    <xf numFmtId="0" fontId="35" fillId="0" borderId="10" xfId="5" applyFont="1" applyBorder="1"/>
    <xf numFmtId="0" fontId="35" fillId="0" borderId="5" xfId="5" applyFont="1" applyBorder="1" applyAlignment="1">
      <alignment horizontal="left" vertical="center"/>
    </xf>
    <xf numFmtId="0" fontId="11" fillId="11" borderId="1" xfId="5" applyFont="1" applyFill="1" applyBorder="1" applyAlignment="1">
      <alignment horizontal="center" wrapText="1"/>
    </xf>
    <xf numFmtId="9" fontId="35" fillId="0" borderId="1" xfId="5" quotePrefix="1" applyNumberFormat="1" applyFont="1" applyBorder="1" applyAlignment="1">
      <alignment wrapText="1"/>
    </xf>
    <xf numFmtId="9" fontId="35" fillId="0" borderId="1" xfId="3" applyFont="1" applyFill="1" applyBorder="1" applyAlignment="1">
      <alignment wrapText="1"/>
    </xf>
    <xf numFmtId="178" fontId="35" fillId="0" borderId="1" xfId="3" applyNumberFormat="1" applyFont="1" applyFill="1" applyBorder="1" applyAlignment="1">
      <alignment wrapText="1"/>
    </xf>
    <xf numFmtId="0" fontId="35" fillId="0" borderId="20" xfId="5" applyFont="1" applyBorder="1"/>
    <xf numFmtId="0" fontId="35" fillId="11" borderId="1" xfId="5" applyFont="1" applyFill="1" applyBorder="1" applyAlignment="1">
      <alignment horizontal="left" vertical="center" wrapText="1" shrinkToFit="1"/>
    </xf>
    <xf numFmtId="0" fontId="10" fillId="11" borderId="1" xfId="5" applyFont="1" applyFill="1" applyBorder="1" applyAlignment="1">
      <alignment horizontal="left" vertical="center" wrapText="1" shrinkToFit="1"/>
    </xf>
    <xf numFmtId="38" fontId="35" fillId="14" borderId="1" xfId="4" applyFont="1" applyFill="1" applyBorder="1" applyAlignment="1"/>
    <xf numFmtId="0" fontId="35" fillId="14" borderId="1" xfId="5" applyFont="1" applyFill="1" applyBorder="1"/>
    <xf numFmtId="186" fontId="13" fillId="9" borderId="1" xfId="5" applyNumberFormat="1" applyFont="1" applyFill="1" applyBorder="1"/>
    <xf numFmtId="0" fontId="35" fillId="9" borderId="1" xfId="5" applyFont="1" applyFill="1" applyBorder="1" applyAlignment="1">
      <alignment horizontal="center" vertical="center" wrapText="1"/>
    </xf>
    <xf numFmtId="0" fontId="13" fillId="9" borderId="1" xfId="5" applyFont="1" applyFill="1" applyBorder="1" applyAlignment="1">
      <alignment horizontal="center" vertical="center"/>
    </xf>
    <xf numFmtId="186" fontId="13" fillId="9" borderId="1" xfId="5" applyNumberFormat="1" applyFont="1" applyFill="1" applyBorder="1" applyAlignment="1">
      <alignment horizontal="center" vertical="center"/>
    </xf>
    <xf numFmtId="186" fontId="35" fillId="9" borderId="20" xfId="5" applyNumberFormat="1" applyFont="1" applyFill="1" applyBorder="1"/>
    <xf numFmtId="0" fontId="35" fillId="0" borderId="5" xfId="5" applyFont="1" applyFill="1" applyBorder="1" applyAlignment="1">
      <alignment vertical="center"/>
    </xf>
    <xf numFmtId="0" fontId="45" fillId="0" borderId="0" xfId="0" applyFont="1" applyBorder="1" applyAlignment="1">
      <alignment horizontal="left" vertical="center" wrapText="1" shrinkToFit="1"/>
    </xf>
    <xf numFmtId="0" fontId="19" fillId="0" borderId="0" xfId="5" applyFont="1"/>
    <xf numFmtId="0" fontId="19" fillId="0" borderId="0" xfId="5" applyFont="1" applyBorder="1"/>
    <xf numFmtId="0" fontId="19" fillId="0" borderId="0" xfId="5" applyFont="1" applyBorder="1" applyAlignment="1">
      <alignment horizontal="left" vertical="center"/>
    </xf>
    <xf numFmtId="0" fontId="19" fillId="0" borderId="0" xfId="5" applyFont="1" applyBorder="1" applyAlignment="1">
      <alignment horizontal="center" vertical="center"/>
    </xf>
    <xf numFmtId="0" fontId="19" fillId="0" borderId="0" xfId="5" applyFont="1" applyFill="1" applyBorder="1"/>
    <xf numFmtId="0" fontId="15" fillId="0" borderId="5" xfId="1" applyFont="1" applyBorder="1">
      <alignment vertical="center"/>
    </xf>
    <xf numFmtId="0" fontId="1" fillId="0" borderId="27" xfId="1" applyBorder="1">
      <alignment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9" fillId="0" borderId="0" xfId="0" applyFont="1" applyFill="1">
      <alignment vertical="center"/>
    </xf>
    <xf numFmtId="0" fontId="26" fillId="0" borderId="0" xfId="0" applyFont="1" applyFill="1" applyBorder="1" applyAlignment="1">
      <alignment vertical="center"/>
    </xf>
    <xf numFmtId="0" fontId="30" fillId="0" borderId="0" xfId="0" applyFont="1" applyBorder="1" applyAlignment="1">
      <alignment vertical="center"/>
    </xf>
    <xf numFmtId="0" fontId="29" fillId="0" borderId="0" xfId="0" applyFont="1" applyBorder="1" applyAlignment="1">
      <alignment vertical="center"/>
    </xf>
    <xf numFmtId="184" fontId="49" fillId="0" borderId="0" xfId="4" applyNumberFormat="1" applyFont="1" applyBorder="1" applyAlignment="1">
      <alignment vertical="center" shrinkToFit="1"/>
    </xf>
    <xf numFmtId="184" fontId="49" fillId="0" borderId="0" xfId="4" applyNumberFormat="1" applyFont="1" applyFill="1" applyBorder="1" applyAlignment="1">
      <alignment vertical="center" shrinkToFit="1"/>
    </xf>
    <xf numFmtId="183" fontId="33" fillId="0" borderId="0" xfId="4" applyNumberFormat="1" applyFont="1" applyFill="1" applyBorder="1" applyAlignment="1">
      <alignment vertical="center" shrinkToFit="1"/>
    </xf>
    <xf numFmtId="0" fontId="0" fillId="0" borderId="2" xfId="0"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178" fontId="24" fillId="0" borderId="0" xfId="0" applyNumberFormat="1" applyFont="1" applyBorder="1" applyAlignment="1">
      <alignment horizontal="center" vertical="center" wrapText="1"/>
    </xf>
    <xf numFmtId="179" fontId="25" fillId="0" borderId="0" xfId="0" applyNumberFormat="1" applyFont="1" applyBorder="1" applyAlignment="1">
      <alignment horizontal="center" vertical="center" wrapText="1"/>
    </xf>
    <xf numFmtId="190" fontId="55" fillId="0" borderId="0" xfId="0" applyNumberFormat="1" applyFont="1" applyBorder="1" applyAlignment="1">
      <alignment horizontal="center" vertical="center" wrapText="1"/>
    </xf>
    <xf numFmtId="190" fontId="0" fillId="0" borderId="0" xfId="0" applyNumberFormat="1" applyBorder="1" applyAlignment="1">
      <alignment vertical="center" wrapText="1"/>
    </xf>
    <xf numFmtId="0" fontId="0" fillId="0" borderId="17" xfId="0" applyBorder="1" applyAlignment="1">
      <alignment vertical="center" wrapText="1"/>
    </xf>
    <xf numFmtId="0" fontId="0" fillId="0" borderId="4"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178" fontId="23" fillId="0" borderId="0" xfId="0" applyNumberFormat="1" applyFont="1" applyBorder="1" applyAlignment="1">
      <alignment horizontal="center" vertical="center" wrapText="1"/>
    </xf>
    <xf numFmtId="179" fontId="0" fillId="0" borderId="0"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33" xfId="0" applyBorder="1" applyAlignment="1">
      <alignment vertical="center" wrapText="1"/>
    </xf>
    <xf numFmtId="0" fontId="2" fillId="0" borderId="13" xfId="0" applyFont="1" applyBorder="1" applyAlignment="1">
      <alignment horizontal="center" vertical="center" wrapText="1"/>
    </xf>
    <xf numFmtId="0" fontId="0" fillId="0" borderId="34" xfId="0" applyBorder="1" applyAlignment="1">
      <alignment horizontal="center" vertical="center"/>
    </xf>
    <xf numFmtId="0" fontId="0" fillId="0" borderId="4" xfId="0" applyBorder="1" applyAlignment="1">
      <alignment vertical="center" wrapText="1"/>
    </xf>
    <xf numFmtId="0" fontId="50" fillId="0" borderId="0" xfId="0" applyFont="1" applyAlignment="1">
      <alignment vertical="center"/>
    </xf>
    <xf numFmtId="0" fontId="50" fillId="0" borderId="0" xfId="0" applyFont="1" applyFill="1" applyBorder="1" applyAlignment="1">
      <alignment vertical="center"/>
    </xf>
    <xf numFmtId="0" fontId="0" fillId="0" borderId="1" xfId="0" applyBorder="1" applyAlignment="1">
      <alignment horizontal="left" vertical="center"/>
    </xf>
    <xf numFmtId="179" fontId="0" fillId="0" borderId="1" xfId="0" applyNumberFormat="1" applyBorder="1">
      <alignment vertical="center"/>
    </xf>
    <xf numFmtId="184" fontId="54" fillId="0" borderId="0" xfId="4" applyNumberFormat="1" applyFont="1" applyBorder="1" applyAlignment="1">
      <alignment vertical="center" shrinkToFi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51" fillId="0" borderId="0" xfId="0" applyFont="1" applyBorder="1" applyAlignment="1">
      <alignment vertical="center" shrinkToFit="1"/>
    </xf>
    <xf numFmtId="0" fontId="35" fillId="11" borderId="18" xfId="5" applyFont="1" applyFill="1" applyBorder="1"/>
    <xf numFmtId="0" fontId="11" fillId="0" borderId="1" xfId="5" applyFont="1" applyFill="1" applyBorder="1" applyAlignment="1">
      <alignment horizontal="center" vertical="center" wrapText="1"/>
    </xf>
    <xf numFmtId="186" fontId="41" fillId="0" borderId="1" xfId="5" applyNumberFormat="1" applyFont="1" applyFill="1" applyBorder="1" applyAlignment="1">
      <alignment horizontal="center" vertical="center" wrapText="1"/>
    </xf>
    <xf numFmtId="189" fontId="11" fillId="0" borderId="1" xfId="5" applyNumberFormat="1" applyFont="1" applyFill="1" applyBorder="1" applyAlignment="1">
      <alignment horizontal="right" vertical="center" wrapText="1"/>
    </xf>
    <xf numFmtId="188" fontId="41" fillId="0" borderId="1" xfId="5" applyNumberFormat="1" applyFont="1" applyFill="1" applyBorder="1" applyAlignment="1">
      <alignment horizontal="center" vertical="center" wrapText="1"/>
    </xf>
    <xf numFmtId="186" fontId="11" fillId="0" borderId="1" xfId="5" applyNumberFormat="1" applyFont="1" applyFill="1" applyBorder="1" applyAlignment="1">
      <alignment horizontal="right" vertical="center" wrapText="1"/>
    </xf>
    <xf numFmtId="0" fontId="35" fillId="0" borderId="0" xfId="5" applyFont="1" applyAlignment="1">
      <alignment horizontal="left"/>
    </xf>
    <xf numFmtId="0" fontId="35" fillId="11" borderId="18" xfId="5" applyFont="1" applyFill="1" applyBorder="1" applyAlignment="1">
      <alignment horizontal="left"/>
    </xf>
    <xf numFmtId="0" fontId="39" fillId="0" borderId="5" xfId="5" applyFont="1" applyBorder="1" applyAlignment="1">
      <alignment horizontal="left" vertical="center" wrapText="1"/>
    </xf>
    <xf numFmtId="0" fontId="42" fillId="0" borderId="5" xfId="5" applyFont="1" applyBorder="1" applyAlignment="1">
      <alignment horizontal="left" vertical="center" wrapText="1"/>
    </xf>
    <xf numFmtId="0" fontId="42" fillId="15" borderId="5" xfId="5" applyFont="1" applyFill="1" applyBorder="1" applyAlignment="1">
      <alignment horizontal="left" vertical="center" wrapText="1"/>
    </xf>
    <xf numFmtId="0" fontId="39" fillId="15" borderId="5" xfId="5" applyFont="1" applyFill="1" applyBorder="1" applyAlignment="1">
      <alignment horizontal="left" vertical="center" wrapText="1"/>
    </xf>
    <xf numFmtId="0" fontId="39" fillId="0" borderId="5" xfId="5" applyFont="1" applyFill="1" applyBorder="1" applyAlignment="1">
      <alignment horizontal="left" vertical="center" wrapText="1"/>
    </xf>
    <xf numFmtId="0" fontId="11" fillId="0" borderId="5" xfId="5" applyFont="1" applyBorder="1" applyAlignment="1">
      <alignment horizontal="left" vertical="center" wrapText="1"/>
    </xf>
    <xf numFmtId="0" fontId="38" fillId="0" borderId="1" xfId="5" applyFont="1" applyBorder="1" applyAlignment="1">
      <alignment horizontal="left" vertical="center" wrapText="1"/>
    </xf>
    <xf numFmtId="0" fontId="11" fillId="0" borderId="1" xfId="5" applyFont="1" applyBorder="1" applyAlignment="1">
      <alignment horizontal="center" vertical="center" wrapText="1"/>
    </xf>
    <xf numFmtId="0" fontId="41" fillId="0" borderId="1" xfId="5" applyFont="1" applyBorder="1" applyAlignment="1">
      <alignment horizontal="center" vertical="center" wrapText="1"/>
    </xf>
    <xf numFmtId="0" fontId="38" fillId="0" borderId="1" xfId="5" applyFont="1" applyFill="1" applyBorder="1" applyAlignment="1">
      <alignment horizontal="left" vertical="center"/>
    </xf>
    <xf numFmtId="0" fontId="11" fillId="0" borderId="1" xfId="5" applyFont="1" applyFill="1" applyBorder="1" applyAlignment="1">
      <alignment horizontal="center" vertical="center" wrapText="1"/>
    </xf>
    <xf numFmtId="0" fontId="11" fillId="0" borderId="1" xfId="5" applyFont="1" applyFill="1" applyBorder="1" applyAlignment="1">
      <alignment horizontal="left" vertical="center" wrapText="1"/>
    </xf>
    <xf numFmtId="0" fontId="38" fillId="0" borderId="10" xfId="0" applyFont="1" applyFill="1" applyBorder="1" applyAlignment="1">
      <alignment horizontal="center" vertical="center" wrapText="1"/>
    </xf>
    <xf numFmtId="0" fontId="58" fillId="0" borderId="24" xfId="5" applyFont="1" applyBorder="1" applyAlignment="1">
      <alignment horizontal="center" vertical="center" wrapText="1"/>
    </xf>
    <xf numFmtId="0" fontId="19" fillId="3" borderId="1" xfId="0" applyFont="1" applyFill="1" applyBorder="1" applyAlignment="1">
      <alignment vertical="center"/>
    </xf>
    <xf numFmtId="0" fontId="16" fillId="0" borderId="18" xfId="0" applyFont="1" applyBorder="1" applyAlignment="1">
      <alignment horizontal="center" vertical="center" wrapText="1"/>
    </xf>
    <xf numFmtId="0" fontId="8" fillId="0" borderId="28" xfId="0" applyFont="1" applyBorder="1" applyAlignment="1">
      <alignment horizontal="center" vertical="center" wrapText="1"/>
    </xf>
    <xf numFmtId="0" fontId="11" fillId="0" borderId="1" xfId="5" applyFont="1" applyBorder="1" applyAlignment="1">
      <alignment horizontal="center" vertical="center" wrapText="1"/>
    </xf>
    <xf numFmtId="0" fontId="11" fillId="0" borderId="1" xfId="5" applyFont="1" applyFill="1" applyBorder="1" applyAlignment="1">
      <alignment horizontal="center" vertical="center" wrapText="1"/>
    </xf>
    <xf numFmtId="0" fontId="12" fillId="0" borderId="1" xfId="0" applyFont="1" applyBorder="1">
      <alignment vertical="center"/>
    </xf>
    <xf numFmtId="1" fontId="18" fillId="0" borderId="1" xfId="0" applyNumberFormat="1" applyFont="1" applyBorder="1">
      <alignment vertical="center"/>
    </xf>
    <xf numFmtId="176" fontId="18" fillId="0" borderId="1" xfId="0" applyNumberFormat="1" applyFont="1" applyBorder="1">
      <alignment vertical="center"/>
    </xf>
    <xf numFmtId="0" fontId="18" fillId="0" borderId="13" xfId="0" applyFont="1" applyBorder="1" applyAlignment="1">
      <alignment vertical="center" wrapText="1"/>
    </xf>
    <xf numFmtId="0" fontId="18" fillId="0" borderId="13" xfId="0" applyFont="1" applyBorder="1">
      <alignment vertical="center"/>
    </xf>
    <xf numFmtId="0" fontId="18" fillId="0" borderId="17" xfId="0" applyFont="1" applyBorder="1">
      <alignment vertical="center"/>
    </xf>
    <xf numFmtId="0" fontId="57" fillId="0" borderId="1" xfId="1" applyFont="1" applyFill="1" applyBorder="1" applyAlignment="1">
      <alignment horizontal="center" vertical="center"/>
    </xf>
    <xf numFmtId="0" fontId="1" fillId="0" borderId="0" xfId="1" applyFill="1" applyBorder="1">
      <alignment vertical="center"/>
    </xf>
    <xf numFmtId="0" fontId="0" fillId="0" borderId="0" xfId="1" applyFont="1" applyFill="1" applyBorder="1">
      <alignment vertical="center"/>
    </xf>
    <xf numFmtId="0" fontId="1" fillId="0" borderId="0" xfId="1" applyFill="1" applyBorder="1" applyAlignment="1">
      <alignment horizontal="center" vertical="center"/>
    </xf>
    <xf numFmtId="0" fontId="0" fillId="0" borderId="0" xfId="1" applyFont="1" applyFill="1" applyBorder="1" applyAlignment="1">
      <alignment horizontal="center" vertical="center" shrinkToFit="1"/>
    </xf>
    <xf numFmtId="0" fontId="0" fillId="0" borderId="0" xfId="0" applyAlignment="1">
      <alignment horizontal="centerContinuous" vertical="center"/>
    </xf>
    <xf numFmtId="0" fontId="59" fillId="16" borderId="28" xfId="5" applyFont="1" applyFill="1" applyBorder="1" applyAlignment="1">
      <alignment horizontal="center" vertical="top" wrapText="1"/>
    </xf>
    <xf numFmtId="0" fontId="11" fillId="0" borderId="1" xfId="0" applyFont="1" applyFill="1" applyBorder="1" applyAlignment="1">
      <alignment horizontal="center" vertical="center" wrapText="1"/>
    </xf>
    <xf numFmtId="188" fontId="11" fillId="0" borderId="1" xfId="5" applyNumberFormat="1" applyFont="1" applyFill="1" applyBorder="1" applyAlignment="1">
      <alignment horizontal="center" vertical="center" wrapText="1"/>
    </xf>
    <xf numFmtId="0" fontId="19" fillId="0" borderId="46" xfId="0" applyFont="1" applyBorder="1">
      <alignment vertical="center"/>
    </xf>
    <xf numFmtId="0" fontId="19" fillId="0" borderId="50" xfId="0" applyFont="1" applyBorder="1">
      <alignment vertical="center"/>
    </xf>
    <xf numFmtId="0" fontId="19" fillId="0" borderId="51" xfId="0" applyFont="1" applyBorder="1">
      <alignment vertical="center"/>
    </xf>
    <xf numFmtId="0" fontId="21" fillId="0" borderId="51" xfId="0" applyFont="1" applyFill="1" applyBorder="1" applyAlignment="1">
      <alignment vertical="center"/>
    </xf>
    <xf numFmtId="0" fontId="19" fillId="23" borderId="0" xfId="0" applyFont="1" applyFill="1">
      <alignment vertical="center"/>
    </xf>
    <xf numFmtId="0" fontId="45" fillId="0" borderId="0" xfId="0" applyFont="1" applyBorder="1" applyAlignment="1">
      <alignment vertical="center" wrapText="1" shrinkToFit="1"/>
    </xf>
    <xf numFmtId="0" fontId="45" fillId="0" borderId="0" xfId="0" applyFont="1" applyBorder="1" applyAlignment="1">
      <alignment vertical="center"/>
    </xf>
    <xf numFmtId="0" fontId="64" fillId="23" borderId="53" xfId="0" applyFont="1" applyFill="1" applyBorder="1">
      <alignment vertical="center"/>
    </xf>
    <xf numFmtId="0" fontId="26" fillId="0" borderId="0" xfId="0" applyFont="1" applyBorder="1" applyAlignment="1">
      <alignment vertical="center"/>
    </xf>
    <xf numFmtId="0" fontId="51" fillId="0" borderId="0" xfId="0" applyFont="1" applyBorder="1" applyAlignment="1">
      <alignment vertical="center"/>
    </xf>
    <xf numFmtId="185" fontId="20" fillId="0" borderId="0" xfId="4" applyNumberFormat="1" applyFont="1" applyFill="1" applyBorder="1" applyAlignment="1">
      <alignment horizontal="right" vertical="center"/>
    </xf>
    <xf numFmtId="0" fontId="27" fillId="0" borderId="0" xfId="0" applyFont="1" applyBorder="1" applyAlignment="1">
      <alignment horizontal="center" vertical="center"/>
    </xf>
    <xf numFmtId="0" fontId="26" fillId="0" borderId="60" xfId="0" applyFont="1" applyFill="1" applyBorder="1" applyAlignment="1">
      <alignment vertical="center"/>
    </xf>
    <xf numFmtId="0" fontId="26" fillId="0" borderId="61" xfId="0" applyFont="1" applyFill="1" applyBorder="1" applyAlignment="1">
      <alignment vertical="center"/>
    </xf>
    <xf numFmtId="0" fontId="19" fillId="0" borderId="60" xfId="0" applyFont="1" applyFill="1" applyBorder="1">
      <alignment vertical="center"/>
    </xf>
    <xf numFmtId="0" fontId="19" fillId="0" borderId="61" xfId="0" applyFont="1" applyFill="1" applyBorder="1">
      <alignment vertical="center"/>
    </xf>
    <xf numFmtId="184" fontId="49" fillId="0" borderId="60" xfId="4" applyNumberFormat="1" applyFont="1" applyFill="1" applyBorder="1" applyAlignment="1">
      <alignment vertical="center" shrinkToFit="1"/>
    </xf>
    <xf numFmtId="0" fontId="29" fillId="0" borderId="61" xfId="0" applyFont="1" applyFill="1" applyBorder="1" applyAlignment="1">
      <alignment vertical="center"/>
    </xf>
    <xf numFmtId="0" fontId="19" fillId="0" borderId="54" xfId="0" applyFont="1" applyFill="1" applyBorder="1">
      <alignment vertical="center"/>
    </xf>
    <xf numFmtId="0" fontId="19" fillId="0" borderId="55" xfId="0" applyFont="1" applyFill="1" applyBorder="1">
      <alignment vertical="center"/>
    </xf>
    <xf numFmtId="0" fontId="19" fillId="0" borderId="56" xfId="0" applyFont="1" applyFill="1" applyBorder="1">
      <alignment vertical="center"/>
    </xf>
    <xf numFmtId="0" fontId="27" fillId="0" borderId="60" xfId="0" applyFont="1" applyBorder="1" applyAlignment="1">
      <alignment horizontal="center" vertical="center"/>
    </xf>
    <xf numFmtId="0" fontId="19" fillId="0" borderId="60" xfId="0" applyFont="1" applyBorder="1">
      <alignment vertical="center"/>
    </xf>
    <xf numFmtId="0" fontId="19" fillId="0" borderId="54" xfId="0" applyFont="1" applyBorder="1">
      <alignment vertical="center"/>
    </xf>
    <xf numFmtId="0" fontId="19" fillId="0" borderId="55" xfId="0" applyFont="1" applyBorder="1">
      <alignment vertical="center"/>
    </xf>
    <xf numFmtId="0" fontId="53" fillId="0" borderId="55" xfId="0" applyFont="1" applyBorder="1" applyAlignment="1"/>
    <xf numFmtId="0" fontId="27" fillId="0" borderId="60" xfId="0" applyFont="1" applyBorder="1" applyAlignment="1">
      <alignment vertical="center"/>
    </xf>
    <xf numFmtId="0" fontId="19" fillId="0" borderId="61" xfId="0" applyFont="1" applyBorder="1">
      <alignment vertical="center"/>
    </xf>
    <xf numFmtId="0" fontId="19" fillId="0" borderId="56" xfId="0" applyFont="1" applyBorder="1">
      <alignment vertical="center"/>
    </xf>
    <xf numFmtId="0" fontId="27" fillId="0" borderId="62" xfId="0" applyFont="1" applyBorder="1" applyAlignment="1">
      <alignment vertical="center"/>
    </xf>
    <xf numFmtId="0" fontId="26" fillId="0" borderId="63" xfId="0" applyFont="1" applyBorder="1" applyAlignment="1">
      <alignment vertical="center"/>
    </xf>
    <xf numFmtId="0" fontId="19" fillId="0" borderId="63" xfId="0" applyFont="1" applyBorder="1">
      <alignment vertical="center"/>
    </xf>
    <xf numFmtId="0" fontId="51" fillId="0" borderId="63" xfId="0" applyFont="1" applyBorder="1" applyAlignment="1">
      <alignment vertical="center"/>
    </xf>
    <xf numFmtId="0" fontId="19" fillId="0" borderId="64" xfId="0" applyFont="1" applyBorder="1">
      <alignment vertical="center"/>
    </xf>
    <xf numFmtId="0" fontId="29" fillId="0" borderId="63" xfId="0" applyFont="1" applyBorder="1">
      <alignment vertical="center"/>
    </xf>
    <xf numFmtId="0" fontId="0" fillId="0" borderId="0" xfId="0" applyAlignment="1"/>
    <xf numFmtId="176" fontId="0" fillId="0" borderId="0" xfId="0" applyNumberFormat="1" applyBorder="1" applyAlignment="1">
      <alignment horizontal="center" vertical="center" wrapText="1"/>
    </xf>
    <xf numFmtId="176" fontId="0" fillId="0" borderId="0" xfId="0" applyNumberFormat="1" applyAlignment="1">
      <alignment horizontal="center" vertical="center"/>
    </xf>
    <xf numFmtId="0" fontId="45" fillId="0" borderId="0" xfId="0" applyFont="1" applyBorder="1" applyAlignment="1">
      <alignment vertical="top"/>
    </xf>
    <xf numFmtId="0" fontId="64" fillId="23" borderId="0" xfId="0" applyFont="1" applyFill="1" applyBorder="1">
      <alignment vertical="center"/>
    </xf>
    <xf numFmtId="0" fontId="66" fillId="23" borderId="0" xfId="0" applyFont="1" applyFill="1" applyBorder="1">
      <alignment vertical="center"/>
    </xf>
    <xf numFmtId="0" fontId="60" fillId="23" borderId="0" xfId="0" applyFont="1" applyFill="1" applyBorder="1" applyAlignment="1">
      <alignment horizontal="right" vertical="center"/>
    </xf>
    <xf numFmtId="0" fontId="19" fillId="17" borderId="0" xfId="0" applyFont="1" applyFill="1" applyBorder="1">
      <alignment vertical="center"/>
    </xf>
    <xf numFmtId="0" fontId="52" fillId="17" borderId="0" xfId="0" applyFont="1" applyFill="1" applyBorder="1">
      <alignment vertical="center"/>
    </xf>
    <xf numFmtId="0" fontId="48" fillId="0" borderId="0" xfId="0" applyFont="1" applyBorder="1" applyAlignment="1">
      <alignment horizontal="right" vertical="center"/>
    </xf>
    <xf numFmtId="185" fontId="20" fillId="0" borderId="0" xfId="4" applyNumberFormat="1" applyFont="1" applyFill="1" applyBorder="1" applyAlignment="1">
      <alignment vertical="center"/>
    </xf>
    <xf numFmtId="49" fontId="19" fillId="0" borderId="0" xfId="0" applyNumberFormat="1" applyFont="1" applyFill="1" applyBorder="1" applyAlignment="1" applyProtection="1">
      <alignment vertical="center" shrinkToFit="1"/>
      <protection locked="0"/>
    </xf>
    <xf numFmtId="0" fontId="45" fillId="0" borderId="0" xfId="0" applyFont="1" applyFill="1" applyBorder="1" applyAlignment="1">
      <alignment vertical="center" wrapText="1" shrinkToFit="1"/>
    </xf>
    <xf numFmtId="0" fontId="45" fillId="0" borderId="0" xfId="0" applyFont="1" applyFill="1" applyBorder="1" applyAlignment="1">
      <alignment horizontal="right" vertical="center"/>
    </xf>
    <xf numFmtId="0" fontId="35" fillId="9" borderId="30" xfId="5" quotePrefix="1" applyFont="1" applyFill="1" applyBorder="1" applyAlignment="1">
      <alignment horizontal="center" vertical="center" wrapText="1"/>
    </xf>
    <xf numFmtId="0" fontId="61" fillId="0" borderId="0" xfId="0" applyFont="1" applyFill="1" applyBorder="1" applyAlignment="1">
      <alignment horizontal="center" vertical="center" shrinkToFit="1"/>
    </xf>
    <xf numFmtId="0" fontId="48" fillId="0" borderId="0" xfId="0" applyFont="1" applyFill="1" applyBorder="1" applyAlignment="1">
      <alignment horizontal="left" vertical="center" wrapText="1" shrinkToFit="1"/>
    </xf>
    <xf numFmtId="0" fontId="69" fillId="0" borderId="0" xfId="0" applyFont="1" applyFill="1" applyBorder="1" applyAlignment="1">
      <alignment vertical="center" wrapText="1"/>
    </xf>
    <xf numFmtId="0" fontId="69" fillId="0" borderId="0" xfId="0" applyFont="1" applyFill="1" applyBorder="1" applyAlignment="1">
      <alignment horizontal="left" vertical="center" wrapText="1" indent="1"/>
    </xf>
    <xf numFmtId="0" fontId="70" fillId="0" borderId="0" xfId="0" applyFont="1" applyFill="1" applyBorder="1" applyAlignment="1">
      <alignment horizontal="left" vertical="center" wrapText="1" indent="1"/>
    </xf>
    <xf numFmtId="0" fontId="69" fillId="0" borderId="0" xfId="0" applyFont="1" applyFill="1" applyBorder="1" applyAlignment="1">
      <alignment horizontal="center" vertical="center" wrapText="1"/>
    </xf>
    <xf numFmtId="0" fontId="66" fillId="0" borderId="76" xfId="0" applyFont="1" applyFill="1" applyBorder="1" applyAlignment="1">
      <alignment horizontal="center" vertical="center"/>
    </xf>
    <xf numFmtId="0" fontId="66" fillId="0" borderId="0" xfId="0" applyFont="1" applyFill="1" applyBorder="1" applyAlignment="1">
      <alignment horizontal="center" vertical="center"/>
    </xf>
    <xf numFmtId="0" fontId="32" fillId="40" borderId="0" xfId="0" applyFont="1" applyFill="1" applyBorder="1" applyAlignment="1">
      <alignment horizontal="center" vertical="center"/>
    </xf>
    <xf numFmtId="0" fontId="19" fillId="40" borderId="0" xfId="0" applyFont="1" applyFill="1" applyBorder="1">
      <alignment vertical="center"/>
    </xf>
    <xf numFmtId="0" fontId="19" fillId="40" borderId="0" xfId="0" applyFont="1" applyFill="1">
      <alignment vertical="center"/>
    </xf>
    <xf numFmtId="0" fontId="26" fillId="40" borderId="0" xfId="0" applyFont="1" applyFill="1" applyBorder="1" applyAlignment="1">
      <alignment vertical="center"/>
    </xf>
    <xf numFmtId="184" fontId="49" fillId="40" borderId="0" xfId="4" applyNumberFormat="1" applyFont="1" applyFill="1" applyBorder="1" applyAlignment="1">
      <alignment vertical="center" shrinkToFit="1"/>
    </xf>
    <xf numFmtId="0" fontId="28" fillId="0" borderId="0" xfId="0" applyFont="1" applyBorder="1" applyAlignment="1">
      <alignment horizontal="left" shrinkToFit="1"/>
    </xf>
    <xf numFmtId="0" fontId="67" fillId="32" borderId="83" xfId="0" applyFont="1" applyFill="1" applyBorder="1">
      <alignment vertical="center"/>
    </xf>
    <xf numFmtId="0" fontId="64" fillId="32" borderId="84" xfId="0" applyFont="1" applyFill="1" applyBorder="1">
      <alignment vertical="center"/>
    </xf>
    <xf numFmtId="0" fontId="64" fillId="32" borderId="84" xfId="0" applyFont="1" applyFill="1" applyBorder="1" applyAlignment="1">
      <alignment vertical="center"/>
    </xf>
    <xf numFmtId="0" fontId="64" fillId="32" borderId="85" xfId="0" applyFont="1" applyFill="1" applyBorder="1" applyAlignment="1">
      <alignment vertical="center"/>
    </xf>
    <xf numFmtId="0" fontId="67" fillId="32" borderId="83" xfId="0" applyFont="1" applyFill="1" applyBorder="1" applyAlignment="1">
      <alignment vertical="center"/>
    </xf>
    <xf numFmtId="0" fontId="67" fillId="32" borderId="84" xfId="0" applyFont="1" applyFill="1" applyBorder="1" applyAlignment="1">
      <alignment vertical="center"/>
    </xf>
    <xf numFmtId="0" fontId="67" fillId="32" borderId="85" xfId="0" applyFont="1" applyFill="1" applyBorder="1" applyAlignment="1">
      <alignment vertical="center"/>
    </xf>
    <xf numFmtId="0" fontId="64" fillId="32" borderId="85" xfId="0" applyFont="1" applyFill="1" applyBorder="1">
      <alignment vertical="center"/>
    </xf>
    <xf numFmtId="0" fontId="35" fillId="0" borderId="0" xfId="5" applyFont="1" applyFill="1" applyBorder="1" applyAlignment="1">
      <alignment horizontal="center"/>
    </xf>
    <xf numFmtId="0" fontId="8" fillId="0" borderId="0" xfId="1" applyFont="1" applyFill="1" applyBorder="1" applyAlignment="1">
      <alignment horizontal="left" vertical="center" wrapText="1"/>
    </xf>
    <xf numFmtId="0" fontId="43" fillId="0" borderId="0" xfId="5" applyFont="1" applyFill="1" applyBorder="1" applyAlignment="1">
      <alignment vertical="center"/>
    </xf>
    <xf numFmtId="186" fontId="35" fillId="0" borderId="0" xfId="5" applyNumberFormat="1" applyFont="1" applyFill="1" applyBorder="1"/>
    <xf numFmtId="0" fontId="43" fillId="0" borderId="0" xfId="5" applyFont="1" applyFill="1" applyBorder="1"/>
    <xf numFmtId="176" fontId="35" fillId="0" borderId="0" xfId="5" applyNumberFormat="1" applyFont="1" applyFill="1" applyBorder="1" applyAlignment="1">
      <alignment horizontal="right"/>
    </xf>
    <xf numFmtId="0" fontId="11" fillId="0" borderId="1" xfId="5" applyFont="1" applyBorder="1" applyAlignment="1">
      <alignment horizontal="center" vertical="center" wrapText="1"/>
    </xf>
    <xf numFmtId="0" fontId="11" fillId="15" borderId="1" xfId="5" applyFont="1" applyFill="1" applyBorder="1" applyAlignment="1">
      <alignment horizontal="center" vertical="center" wrapText="1"/>
    </xf>
    <xf numFmtId="0" fontId="35" fillId="0" borderId="1" xfId="5" applyFont="1" applyBorder="1"/>
    <xf numFmtId="0" fontId="11" fillId="0" borderId="1" xfId="5" applyFont="1" applyFill="1" applyBorder="1" applyAlignment="1">
      <alignment horizontal="center" vertical="center" wrapText="1"/>
    </xf>
    <xf numFmtId="0" fontId="11" fillId="0" borderId="1" xfId="5" applyFont="1" applyFill="1" applyBorder="1" applyAlignment="1">
      <alignment horizontal="left" vertical="center" wrapText="1"/>
    </xf>
    <xf numFmtId="0" fontId="11" fillId="0" borderId="1" xfId="5" applyFont="1" applyFill="1" applyBorder="1" applyAlignment="1">
      <alignment horizontal="center" vertical="center"/>
    </xf>
    <xf numFmtId="0" fontId="40" fillId="0" borderId="1" xfId="5" applyFont="1" applyFill="1" applyBorder="1" applyAlignment="1">
      <alignment horizontal="center" vertical="center"/>
    </xf>
    <xf numFmtId="38" fontId="0" fillId="40" borderId="1" xfId="0" applyNumberFormat="1" applyFill="1" applyBorder="1">
      <alignment vertical="center"/>
    </xf>
    <xf numFmtId="0" fontId="11" fillId="0" borderId="20" xfId="5" applyFont="1" applyBorder="1" applyAlignment="1">
      <alignment horizontal="center" vertical="center" wrapText="1"/>
    </xf>
    <xf numFmtId="0" fontId="11" fillId="0" borderId="20" xfId="5" applyFont="1" applyBorder="1" applyAlignment="1">
      <alignment horizontal="left" vertical="center" wrapText="1"/>
    </xf>
    <xf numFmtId="0" fontId="40" fillId="0" borderId="20" xfId="5" applyFont="1" applyFill="1" applyBorder="1" applyAlignment="1">
      <alignment horizontal="center" vertical="center" wrapText="1"/>
    </xf>
    <xf numFmtId="0" fontId="40" fillId="0" borderId="0" xfId="5" applyFont="1" applyFill="1" applyBorder="1" applyAlignment="1">
      <alignment horizontal="center" vertical="center" wrapText="1"/>
    </xf>
    <xf numFmtId="0" fontId="40" fillId="0" borderId="0" xfId="5" applyFont="1" applyFill="1" applyBorder="1" applyAlignment="1">
      <alignment horizontal="center" vertical="center"/>
    </xf>
    <xf numFmtId="9" fontId="35" fillId="0" borderId="30" xfId="5" quotePrefix="1" applyNumberFormat="1" applyFont="1" applyBorder="1" applyAlignment="1">
      <alignment wrapText="1"/>
    </xf>
    <xf numFmtId="9" fontId="35" fillId="0" borderId="30" xfId="3" applyFont="1" applyFill="1" applyBorder="1" applyAlignment="1">
      <alignment wrapText="1"/>
    </xf>
    <xf numFmtId="178" fontId="35" fillId="0" borderId="30" xfId="3" applyNumberFormat="1" applyFont="1" applyFill="1" applyBorder="1" applyAlignment="1">
      <alignment wrapText="1"/>
    </xf>
    <xf numFmtId="0" fontId="35" fillId="0" borderId="30" xfId="5" applyFont="1" applyFill="1" applyBorder="1"/>
    <xf numFmtId="0" fontId="35" fillId="0" borderId="30" xfId="5" applyFont="1" applyBorder="1"/>
    <xf numFmtId="9" fontId="0" fillId="0" borderId="0" xfId="3" applyFont="1" applyBorder="1">
      <alignment vertical="center"/>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78" fillId="0" borderId="0" xfId="0" applyFont="1" applyBorder="1">
      <alignment vertical="center"/>
    </xf>
    <xf numFmtId="0" fontId="79" fillId="0" borderId="0" xfId="0" applyFont="1" applyBorder="1">
      <alignment vertical="center"/>
    </xf>
    <xf numFmtId="0" fontId="21" fillId="0" borderId="0" xfId="0" applyFont="1" applyFill="1" applyBorder="1" applyAlignment="1">
      <alignment vertical="center"/>
    </xf>
    <xf numFmtId="0" fontId="20" fillId="0" borderId="0" xfId="0" applyFont="1" applyFill="1" applyBorder="1" applyAlignment="1">
      <alignment vertical="center" shrinkToFit="1"/>
    </xf>
    <xf numFmtId="0" fontId="20" fillId="0" borderId="0" xfId="0" applyFont="1" applyFill="1" applyBorder="1" applyAlignment="1">
      <alignment vertical="center"/>
    </xf>
    <xf numFmtId="0" fontId="20" fillId="0" borderId="44" xfId="0" applyFont="1" applyFill="1" applyBorder="1" applyAlignment="1">
      <alignment vertical="center" shrinkToFit="1"/>
    </xf>
    <xf numFmtId="0" fontId="20" fillId="0" borderId="44" xfId="0" applyFont="1" applyFill="1" applyBorder="1" applyAlignment="1">
      <alignment vertical="center"/>
    </xf>
    <xf numFmtId="0" fontId="19" fillId="0" borderId="43" xfId="0" applyFont="1" applyBorder="1" applyAlignment="1">
      <alignment horizontal="left" vertical="center" indent="1"/>
    </xf>
    <xf numFmtId="56" fontId="0" fillId="0" borderId="1" xfId="0" applyNumberFormat="1" applyBorder="1">
      <alignment vertical="center"/>
    </xf>
    <xf numFmtId="0" fontId="0" fillId="0" borderId="5" xfId="0" applyBorder="1">
      <alignment vertical="center"/>
    </xf>
    <xf numFmtId="0" fontId="0" fillId="0" borderId="27" xfId="0" applyBorder="1">
      <alignment vertical="center"/>
    </xf>
    <xf numFmtId="0" fontId="0" fillId="0" borderId="10" xfId="0" applyBorder="1">
      <alignment vertical="center"/>
    </xf>
    <xf numFmtId="185" fontId="19" fillId="0" borderId="0" xfId="4" applyNumberFormat="1" applyFont="1" applyFill="1" applyBorder="1" applyAlignment="1">
      <alignment vertical="center" shrinkToFit="1"/>
    </xf>
    <xf numFmtId="0" fontId="19" fillId="0" borderId="0" xfId="0" applyFont="1" applyFill="1" applyBorder="1" applyAlignment="1">
      <alignment vertical="center" shrinkToFit="1"/>
    </xf>
    <xf numFmtId="0" fontId="61" fillId="0" borderId="0" xfId="0" applyFont="1" applyFill="1" applyBorder="1" applyAlignment="1">
      <alignment vertical="center"/>
    </xf>
    <xf numFmtId="185" fontId="19" fillId="0" borderId="0" xfId="4" applyNumberFormat="1" applyFont="1" applyFill="1" applyBorder="1" applyAlignment="1" applyProtection="1">
      <alignment vertical="center" shrinkToFit="1"/>
      <protection locked="0"/>
    </xf>
    <xf numFmtId="0" fontId="29" fillId="0" borderId="65" xfId="0" applyFont="1" applyBorder="1" applyAlignment="1">
      <alignment horizontal="right"/>
    </xf>
    <xf numFmtId="185" fontId="72" fillId="0" borderId="65" xfId="4" applyNumberFormat="1" applyFont="1" applyFill="1" applyBorder="1" applyAlignment="1">
      <alignment horizontal="center" vertical="center" wrapText="1"/>
    </xf>
    <xf numFmtId="0" fontId="29" fillId="0" borderId="0" xfId="0" applyFont="1" applyBorder="1" applyAlignment="1">
      <alignment horizontal="right" vertical="center"/>
    </xf>
    <xf numFmtId="0" fontId="19" fillId="0" borderId="44" xfId="0" applyFont="1" applyBorder="1">
      <alignment vertical="center"/>
    </xf>
    <xf numFmtId="0" fontId="0" fillId="43" borderId="0" xfId="0" applyFill="1" applyBorder="1">
      <alignment vertical="center"/>
    </xf>
    <xf numFmtId="0" fontId="76" fillId="43" borderId="0" xfId="0" applyFont="1" applyFill="1" applyBorder="1">
      <alignment vertical="center"/>
    </xf>
    <xf numFmtId="0" fontId="80" fillId="43" borderId="0" xfId="0" applyFont="1" applyFill="1" applyBorder="1" applyAlignment="1">
      <alignment vertical="top"/>
    </xf>
    <xf numFmtId="176" fontId="19" fillId="0" borderId="0" xfId="0" applyNumberFormat="1" applyFont="1" applyFill="1" applyBorder="1" applyAlignment="1">
      <alignment vertical="center"/>
    </xf>
    <xf numFmtId="0" fontId="0" fillId="0" borderId="1" xfId="0" quotePrefix="1" applyBorder="1">
      <alignment vertical="center"/>
    </xf>
    <xf numFmtId="0" fontId="0" fillId="0" borderId="30" xfId="0" applyBorder="1">
      <alignment vertical="center"/>
    </xf>
    <xf numFmtId="0" fontId="11" fillId="0" borderId="28" xfId="5" applyFont="1" applyFill="1" applyBorder="1" applyAlignment="1">
      <alignment horizontal="center" vertical="center"/>
    </xf>
    <xf numFmtId="0" fontId="84" fillId="40" borderId="0" xfId="0" applyFont="1" applyFill="1" applyBorder="1">
      <alignment vertical="center"/>
    </xf>
    <xf numFmtId="0" fontId="20" fillId="0" borderId="0" xfId="0" applyFont="1" applyBorder="1">
      <alignment vertical="center"/>
    </xf>
    <xf numFmtId="177" fontId="0" fillId="0" borderId="1" xfId="0" applyNumberFormat="1" applyBorder="1">
      <alignment vertical="center"/>
    </xf>
    <xf numFmtId="0" fontId="0" fillId="0" borderId="1" xfId="0" applyFill="1" applyBorder="1" applyAlignment="1">
      <alignment horizontal="left" vertical="center" shrinkToFit="1"/>
    </xf>
    <xf numFmtId="0" fontId="0" fillId="0" borderId="1" xfId="0" applyFill="1" applyBorder="1" applyAlignment="1">
      <alignment horizontal="left" vertical="center"/>
    </xf>
    <xf numFmtId="6" fontId="0" fillId="0" borderId="1" xfId="0" applyNumberFormat="1" applyBorder="1" applyAlignment="1">
      <alignment vertical="center" shrinkToFit="1"/>
    </xf>
    <xf numFmtId="0" fontId="29" fillId="0" borderId="0" xfId="0" applyFont="1" applyFill="1" applyBorder="1" applyAlignment="1">
      <alignment horizontal="left" vertical="center" indent="1"/>
    </xf>
    <xf numFmtId="185" fontId="29" fillId="0" borderId="0" xfId="4" applyNumberFormat="1" applyFont="1" applyFill="1" applyBorder="1" applyAlignment="1">
      <alignment horizontal="right" vertical="center"/>
    </xf>
    <xf numFmtId="0" fontId="29" fillId="0" borderId="0" xfId="0" applyFont="1" applyFill="1" applyBorder="1" applyAlignment="1">
      <alignment horizontal="center" vertical="center"/>
    </xf>
    <xf numFmtId="0" fontId="29" fillId="0" borderId="0" xfId="0" applyFont="1" applyFill="1" applyBorder="1" applyAlignment="1">
      <alignment horizontal="right" vertical="center"/>
    </xf>
    <xf numFmtId="0" fontId="0" fillId="45" borderId="0" xfId="0" applyFill="1">
      <alignment vertical="center"/>
    </xf>
    <xf numFmtId="0" fontId="87" fillId="0" borderId="43" xfId="0" applyFont="1" applyFill="1" applyBorder="1" applyAlignment="1">
      <alignment vertical="center" wrapText="1"/>
    </xf>
    <xf numFmtId="0" fontId="87" fillId="0" borderId="43" xfId="0" applyFont="1" applyFill="1" applyBorder="1" applyAlignment="1">
      <alignment horizontal="right" vertical="center"/>
    </xf>
    <xf numFmtId="0" fontId="66" fillId="46" borderId="0" xfId="0" applyFont="1" applyFill="1" applyBorder="1" applyAlignment="1">
      <alignment vertical="center"/>
    </xf>
    <xf numFmtId="0" fontId="77" fillId="46" borderId="0" xfId="0" applyFont="1" applyFill="1" applyBorder="1" applyAlignment="1">
      <alignment vertical="center"/>
    </xf>
    <xf numFmtId="0" fontId="0" fillId="46" borderId="0" xfId="0" applyFill="1">
      <alignment vertical="center"/>
    </xf>
    <xf numFmtId="2" fontId="0" fillId="0" borderId="1" xfId="0" applyNumberFormat="1" applyBorder="1">
      <alignment vertical="center"/>
    </xf>
    <xf numFmtId="0" fontId="88" fillId="0" borderId="65" xfId="0" applyFont="1" applyBorder="1" applyAlignment="1">
      <alignment horizontal="right"/>
    </xf>
    <xf numFmtId="0" fontId="88" fillId="0" borderId="46" xfId="0" applyFont="1" applyBorder="1">
      <alignment vertical="center"/>
    </xf>
    <xf numFmtId="0" fontId="27" fillId="0" borderId="46" xfId="0" applyFont="1" applyBorder="1">
      <alignment vertical="center"/>
    </xf>
    <xf numFmtId="0" fontId="88" fillId="0" borderId="0" xfId="0" applyFont="1">
      <alignment vertical="center"/>
    </xf>
    <xf numFmtId="0" fontId="27" fillId="0" borderId="0" xfId="0" applyFont="1">
      <alignment vertical="center"/>
    </xf>
    <xf numFmtId="0" fontId="88" fillId="0" borderId="0" xfId="0" applyFont="1" applyBorder="1">
      <alignment vertical="center"/>
    </xf>
    <xf numFmtId="0" fontId="27" fillId="0" borderId="0" xfId="0" applyFont="1" applyBorder="1">
      <alignment vertical="center"/>
    </xf>
    <xf numFmtId="178" fontId="10" fillId="0" borderId="1" xfId="3" applyNumberFormat="1" applyFont="1" applyFill="1" applyBorder="1" applyAlignment="1">
      <alignment horizontal="center" vertical="center" wrapText="1"/>
    </xf>
    <xf numFmtId="0" fontId="50" fillId="0" borderId="0" xfId="5" applyFont="1" applyFill="1" applyBorder="1"/>
    <xf numFmtId="0" fontId="40" fillId="11" borderId="18" xfId="5" applyFont="1" applyFill="1" applyBorder="1" applyAlignment="1">
      <alignment horizontal="center" vertical="center" wrapText="1"/>
    </xf>
    <xf numFmtId="0" fontId="50" fillId="0" borderId="0" xfId="5" applyFont="1"/>
    <xf numFmtId="0" fontId="46" fillId="11" borderId="20" xfId="5" applyFont="1" applyFill="1" applyBorder="1" applyAlignment="1">
      <alignment horizontal="center" vertical="top" wrapText="1"/>
    </xf>
    <xf numFmtId="0" fontId="1" fillId="7" borderId="146" xfId="1" applyFill="1" applyBorder="1">
      <alignment vertical="center"/>
    </xf>
    <xf numFmtId="0" fontId="10" fillId="8" borderId="5" xfId="1" applyFont="1" applyFill="1" applyBorder="1" applyAlignment="1">
      <alignment horizontal="center" vertical="center" wrapText="1"/>
    </xf>
    <xf numFmtId="0" fontId="1" fillId="5" borderId="5" xfId="1" applyFill="1" applyBorder="1">
      <alignment vertical="center"/>
    </xf>
    <xf numFmtId="1" fontId="1" fillId="9" borderId="5" xfId="1" applyNumberFormat="1" applyFill="1" applyBorder="1">
      <alignment vertical="center"/>
    </xf>
    <xf numFmtId="0" fontId="13" fillId="0" borderId="18" xfId="1" applyFont="1" applyBorder="1" applyAlignment="1">
      <alignment horizontal="center" vertical="center"/>
    </xf>
    <xf numFmtId="0" fontId="14" fillId="6" borderId="147" xfId="1" applyFont="1" applyFill="1" applyBorder="1" applyAlignment="1">
      <alignment horizontal="center" vertical="center" wrapText="1"/>
    </xf>
    <xf numFmtId="0" fontId="35" fillId="11" borderId="10" xfId="5" applyFont="1" applyFill="1" applyBorder="1"/>
    <xf numFmtId="0" fontId="35" fillId="11" borderId="10" xfId="5" applyFont="1" applyFill="1" applyBorder="1" applyAlignment="1">
      <alignment horizontal="left" vertical="center" shrinkToFit="1"/>
    </xf>
    <xf numFmtId="0" fontId="35" fillId="0" borderId="1" xfId="5" applyFont="1" applyBorder="1" applyAlignment="1">
      <alignment horizontal="center" vertical="center"/>
    </xf>
    <xf numFmtId="1" fontId="40" fillId="0" borderId="1" xfId="5" applyNumberFormat="1" applyFont="1" applyFill="1" applyBorder="1" applyAlignment="1">
      <alignment horizontal="center" vertical="center"/>
    </xf>
    <xf numFmtId="176" fontId="35" fillId="0" borderId="1" xfId="5" applyNumberFormat="1" applyFont="1" applyBorder="1" applyAlignment="1">
      <alignment horizontal="center" vertical="center"/>
    </xf>
    <xf numFmtId="0" fontId="15" fillId="0" borderId="10" xfId="0" applyFont="1" applyBorder="1" applyAlignment="1">
      <alignment vertical="center" shrinkToFit="1"/>
    </xf>
    <xf numFmtId="0" fontId="0" fillId="0" borderId="0" xfId="0" applyFill="1" applyBorder="1" applyAlignment="1">
      <alignment vertical="center"/>
    </xf>
    <xf numFmtId="0" fontId="0" fillId="0" borderId="0" xfId="0" applyAlignment="1">
      <alignment vertical="center"/>
    </xf>
    <xf numFmtId="0" fontId="0" fillId="6" borderId="1" xfId="0" applyFill="1" applyBorder="1" applyAlignment="1">
      <alignment horizontal="center" vertical="center"/>
    </xf>
    <xf numFmtId="178" fontId="0" fillId="6" borderId="1" xfId="3" applyNumberFormat="1" applyFont="1" applyFill="1" applyBorder="1">
      <alignment vertical="center"/>
    </xf>
    <xf numFmtId="0" fontId="40" fillId="0" borderId="28" xfId="5" applyFont="1" applyBorder="1" applyAlignment="1">
      <alignment horizontal="center" vertical="center"/>
    </xf>
    <xf numFmtId="0" fontId="40" fillId="0" borderId="0" xfId="5" applyFont="1" applyFill="1" applyBorder="1" applyAlignment="1">
      <alignment horizontal="left" vertical="center" wrapText="1"/>
    </xf>
    <xf numFmtId="0" fontId="40" fillId="0" borderId="28" xfId="5" applyFont="1" applyBorder="1" applyAlignment="1">
      <alignment horizontal="left" vertical="center" wrapText="1"/>
    </xf>
    <xf numFmtId="0" fontId="40" fillId="0" borderId="1" xfId="5" applyFont="1" applyBorder="1" applyAlignment="1">
      <alignment horizontal="left" vertical="center" wrapText="1"/>
    </xf>
    <xf numFmtId="0" fontId="40" fillId="0" borderId="27" xfId="5" applyFont="1" applyFill="1" applyBorder="1" applyAlignment="1">
      <alignment horizontal="left" vertical="center" wrapText="1"/>
    </xf>
    <xf numFmtId="0" fontId="40" fillId="15" borderId="1" xfId="5" applyFont="1" applyFill="1" applyBorder="1" applyAlignment="1">
      <alignment horizontal="left" vertical="center" wrapText="1"/>
    </xf>
    <xf numFmtId="0" fontId="40" fillId="0" borderId="1" xfId="5" applyFont="1" applyFill="1" applyBorder="1" applyAlignment="1">
      <alignment horizontal="right" vertical="center"/>
    </xf>
    <xf numFmtId="0" fontId="46" fillId="0" borderId="1" xfId="5" applyFont="1" applyFill="1" applyBorder="1" applyAlignment="1">
      <alignment horizontal="left" vertical="center" wrapText="1"/>
    </xf>
    <xf numFmtId="0" fontId="40" fillId="0" borderId="1" xfId="5" applyFont="1" applyFill="1" applyBorder="1" applyAlignment="1">
      <alignment horizontal="right" vertical="center" wrapText="1"/>
    </xf>
    <xf numFmtId="0" fontId="46" fillId="0" borderId="1" xfId="0" applyFont="1" applyFill="1" applyBorder="1" applyAlignment="1">
      <alignment horizontal="left" vertical="center" wrapText="1"/>
    </xf>
    <xf numFmtId="0" fontId="59" fillId="11" borderId="20" xfId="5" applyFont="1" applyFill="1" applyBorder="1" applyAlignment="1">
      <alignment vertical="top" wrapText="1"/>
    </xf>
    <xf numFmtId="0" fontId="91" fillId="0" borderId="1" xfId="0" applyFont="1" applyFill="1" applyBorder="1" applyAlignment="1">
      <alignment horizontal="left" vertical="center" wrapText="1"/>
    </xf>
    <xf numFmtId="0" fontId="91" fillId="0" borderId="18" xfId="0" applyFont="1" applyFill="1" applyBorder="1" applyAlignment="1">
      <alignment vertical="center" wrapText="1"/>
    </xf>
    <xf numFmtId="0" fontId="91" fillId="0" borderId="18" xfId="0" applyFont="1" applyFill="1" applyBorder="1" applyAlignment="1">
      <alignment horizontal="left" vertical="center" wrapText="1"/>
    </xf>
    <xf numFmtId="0" fontId="91" fillId="0" borderId="12" xfId="0" applyFont="1" applyFill="1" applyBorder="1" applyAlignment="1">
      <alignment horizontal="left" vertical="center" wrapText="1"/>
    </xf>
    <xf numFmtId="0" fontId="91" fillId="0" borderId="16" xfId="0" applyFont="1" applyFill="1" applyBorder="1" applyAlignment="1">
      <alignment horizontal="left" vertical="center" wrapText="1"/>
    </xf>
    <xf numFmtId="0" fontId="91" fillId="0" borderId="20" xfId="0" applyFont="1" applyFill="1" applyBorder="1" applyAlignment="1">
      <alignment horizontal="left" vertical="center" wrapText="1"/>
    </xf>
    <xf numFmtId="178" fontId="0" fillId="0" borderId="12" xfId="3" applyNumberFormat="1" applyFont="1" applyFill="1" applyBorder="1">
      <alignment vertical="center"/>
    </xf>
    <xf numFmtId="178" fontId="0" fillId="0" borderId="1" xfId="3" applyNumberFormat="1" applyFont="1" applyFill="1" applyBorder="1">
      <alignment vertical="center"/>
    </xf>
    <xf numFmtId="178" fontId="0" fillId="0" borderId="18" xfId="3" applyNumberFormat="1" applyFont="1" applyFill="1" applyBorder="1">
      <alignment vertical="center"/>
    </xf>
    <xf numFmtId="178" fontId="0" fillId="0" borderId="16" xfId="3" applyNumberFormat="1" applyFont="1" applyFill="1" applyBorder="1">
      <alignment vertical="center"/>
    </xf>
    <xf numFmtId="178" fontId="0" fillId="0" borderId="20" xfId="3" applyNumberFormat="1" applyFont="1" applyFill="1" applyBorder="1">
      <alignment vertical="center"/>
    </xf>
    <xf numFmtId="0" fontId="19" fillId="0" borderId="0" xfId="0" applyFont="1" applyAlignment="1">
      <alignment vertical="top" wrapText="1"/>
    </xf>
    <xf numFmtId="0" fontId="19" fillId="0" borderId="0" xfId="0" applyFont="1" applyAlignment="1">
      <alignment vertical="top"/>
    </xf>
    <xf numFmtId="0" fontId="0" fillId="0" borderId="0" xfId="0" applyBorder="1" applyProtection="1">
      <alignment vertical="center"/>
    </xf>
    <xf numFmtId="0" fontId="68" fillId="0" borderId="0" xfId="0" applyFont="1" applyFill="1" applyBorder="1" applyAlignment="1" applyProtection="1">
      <alignment vertical="center" textRotation="255" shrinkToFit="1"/>
    </xf>
    <xf numFmtId="0" fontId="60" fillId="0" borderId="0" xfId="0" applyFont="1" applyFill="1" applyBorder="1" applyAlignment="1" applyProtection="1">
      <alignment vertical="center" shrinkToFit="1"/>
    </xf>
    <xf numFmtId="0" fontId="0" fillId="0" borderId="0" xfId="0" applyFill="1" applyBorder="1" applyProtection="1">
      <alignment vertical="center"/>
    </xf>
    <xf numFmtId="187" fontId="19" fillId="0" borderId="0" xfId="0" applyNumberFormat="1" applyFont="1" applyFill="1" applyBorder="1" applyAlignment="1" applyProtection="1">
      <alignment vertical="center" shrinkToFit="1"/>
    </xf>
    <xf numFmtId="0" fontId="19" fillId="0" borderId="0" xfId="0" applyFont="1" applyFill="1" applyBorder="1" applyAlignment="1" applyProtection="1">
      <alignment vertical="center" shrinkToFit="1"/>
    </xf>
    <xf numFmtId="0" fontId="0" fillId="0" borderId="0" xfId="0" applyProtection="1">
      <alignment vertical="center"/>
    </xf>
    <xf numFmtId="0" fontId="6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19" fillId="0" borderId="0" xfId="0" applyFont="1" applyFill="1" applyBorder="1" applyAlignment="1" applyProtection="1">
      <alignment horizontal="right" vertical="center"/>
    </xf>
    <xf numFmtId="0" fontId="82" fillId="0" borderId="0" xfId="0" applyFont="1" applyFill="1" applyBorder="1" applyAlignment="1" applyProtection="1">
      <alignment horizontal="center" vertical="center"/>
    </xf>
    <xf numFmtId="0" fontId="28" fillId="0" borderId="0" xfId="0" applyFont="1" applyBorder="1" applyProtection="1">
      <alignment vertical="center"/>
    </xf>
    <xf numFmtId="0" fontId="26" fillId="0" borderId="0" xfId="0" applyFont="1" applyBorder="1" applyAlignment="1" applyProtection="1">
      <alignment vertical="top" wrapText="1"/>
    </xf>
    <xf numFmtId="0" fontId="20" fillId="0" borderId="0" xfId="0" applyFont="1" applyBorder="1" applyAlignment="1" applyProtection="1">
      <alignment vertical="center" shrinkToFit="1"/>
    </xf>
    <xf numFmtId="0" fontId="20" fillId="0" borderId="0" xfId="0" applyFont="1" applyBorder="1" applyAlignment="1" applyProtection="1">
      <alignment vertical="center" wrapText="1"/>
    </xf>
    <xf numFmtId="0" fontId="20" fillId="0" borderId="0" xfId="0" applyFont="1" applyBorder="1" applyAlignment="1" applyProtection="1">
      <alignment vertical="top" shrinkToFit="1"/>
    </xf>
    <xf numFmtId="0" fontId="27" fillId="0" borderId="0" xfId="0" applyFont="1" applyBorder="1" applyAlignment="1" applyProtection="1">
      <alignment horizontal="left" vertical="center" indent="1"/>
    </xf>
    <xf numFmtId="0" fontId="26" fillId="0" borderId="22" xfId="0" applyFont="1" applyBorder="1" applyAlignment="1" applyProtection="1">
      <alignment horizontal="left" vertical="top" wrapText="1"/>
    </xf>
    <xf numFmtId="0" fontId="26" fillId="0" borderId="23" xfId="0" applyFont="1" applyBorder="1" applyAlignment="1" applyProtection="1">
      <alignment horizontal="left" vertical="top" wrapText="1"/>
    </xf>
    <xf numFmtId="0" fontId="26" fillId="0" borderId="24" xfId="0" applyFont="1" applyBorder="1" applyAlignment="1" applyProtection="1">
      <alignment horizontal="left" vertical="top" wrapText="1"/>
    </xf>
    <xf numFmtId="0" fontId="26" fillId="0" borderId="82"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6" fillId="0" borderId="25" xfId="0" applyFont="1" applyBorder="1" applyAlignment="1" applyProtection="1">
      <alignment horizontal="left" vertical="top" wrapText="1"/>
    </xf>
    <xf numFmtId="0" fontId="26" fillId="0" borderId="8" xfId="0" applyFont="1" applyBorder="1" applyAlignment="1" applyProtection="1">
      <alignment horizontal="left" vertical="top" wrapText="1"/>
    </xf>
    <xf numFmtId="0" fontId="26" fillId="0" borderId="26" xfId="0" applyFont="1" applyBorder="1" applyAlignment="1" applyProtection="1">
      <alignment horizontal="left" vertical="top" wrapText="1"/>
    </xf>
    <xf numFmtId="0" fontId="26" fillId="0" borderId="9" xfId="0" applyFont="1" applyBorder="1" applyAlignment="1" applyProtection="1">
      <alignment horizontal="left" vertical="top" wrapText="1"/>
    </xf>
    <xf numFmtId="0" fontId="20" fillId="0" borderId="23" xfId="0" applyFont="1" applyBorder="1" applyAlignment="1" applyProtection="1">
      <alignment horizontal="left" vertical="top" wrapText="1" shrinkToFit="1"/>
    </xf>
    <xf numFmtId="0" fontId="20" fillId="0" borderId="0" xfId="0" applyFont="1" applyBorder="1" applyAlignment="1" applyProtection="1">
      <alignment horizontal="left" vertical="top" wrapText="1" shrinkToFit="1"/>
    </xf>
    <xf numFmtId="0" fontId="27" fillId="0" borderId="0" xfId="0" applyFont="1" applyBorder="1" applyAlignment="1" applyProtection="1">
      <alignment horizontal="center" vertical="center"/>
    </xf>
    <xf numFmtId="6" fontId="94" fillId="44" borderId="148" xfId="0" applyNumberFormat="1" applyFont="1" applyFill="1" applyBorder="1" applyAlignment="1" applyProtection="1">
      <alignment horizontal="center" vertical="center" shrinkToFit="1"/>
    </xf>
    <xf numFmtId="6" fontId="94" fillId="44" borderId="149" xfId="0" applyNumberFormat="1" applyFont="1" applyFill="1" applyBorder="1" applyAlignment="1" applyProtection="1">
      <alignment horizontal="center" vertical="center" shrinkToFit="1"/>
    </xf>
    <xf numFmtId="6" fontId="94" fillId="44" borderId="150" xfId="0" applyNumberFormat="1" applyFont="1" applyFill="1" applyBorder="1" applyAlignment="1" applyProtection="1">
      <alignment horizontal="center" vertical="center" shrinkToFit="1"/>
    </xf>
    <xf numFmtId="6" fontId="94" fillId="44" borderId="151" xfId="0" applyNumberFormat="1" applyFont="1" applyFill="1" applyBorder="1" applyAlignment="1" applyProtection="1">
      <alignment horizontal="center" vertical="center" shrinkToFit="1"/>
    </xf>
    <xf numFmtId="6" fontId="94" fillId="44" borderId="0" xfId="0" applyNumberFormat="1" applyFont="1" applyFill="1" applyBorder="1" applyAlignment="1" applyProtection="1">
      <alignment horizontal="center" vertical="center" shrinkToFit="1"/>
    </xf>
    <xf numFmtId="6" fontId="94" fillId="44" borderId="131" xfId="0" applyNumberFormat="1" applyFont="1" applyFill="1" applyBorder="1" applyAlignment="1" applyProtection="1">
      <alignment horizontal="center" vertical="center" shrinkToFit="1"/>
    </xf>
    <xf numFmtId="6" fontId="94" fillId="44" borderId="152" xfId="0" applyNumberFormat="1" applyFont="1" applyFill="1" applyBorder="1" applyAlignment="1" applyProtection="1">
      <alignment horizontal="center" vertical="center" shrinkToFit="1"/>
    </xf>
    <xf numFmtId="6" fontId="94" fillId="44" borderId="124" xfId="0" applyNumberFormat="1" applyFont="1" applyFill="1" applyBorder="1" applyAlignment="1" applyProtection="1">
      <alignment horizontal="center" vertical="center" shrinkToFit="1"/>
    </xf>
    <xf numFmtId="6" fontId="94" fillId="44" borderId="125" xfId="0" applyNumberFormat="1" applyFont="1" applyFill="1" applyBorder="1" applyAlignment="1" applyProtection="1">
      <alignment horizontal="center" vertical="center" shrinkToFit="1"/>
    </xf>
    <xf numFmtId="0" fontId="61" fillId="46" borderId="0" xfId="0" applyFont="1" applyFill="1" applyBorder="1" applyAlignment="1">
      <alignment horizontal="right" vertical="center"/>
    </xf>
    <xf numFmtId="0" fontId="66" fillId="43" borderId="0" xfId="0" applyFont="1" applyFill="1" applyBorder="1" applyAlignment="1">
      <alignment horizontal="left" vertical="top" shrinkToFit="1"/>
    </xf>
    <xf numFmtId="0" fontId="66" fillId="43" borderId="0" xfId="0" applyFont="1" applyFill="1" applyBorder="1" applyAlignment="1">
      <alignment horizontal="left" vertical="top" wrapText="1"/>
    </xf>
    <xf numFmtId="0" fontId="28" fillId="0" borderId="116" xfId="0" applyFont="1" applyFill="1" applyBorder="1" applyAlignment="1">
      <alignment horizontal="center" vertical="center" shrinkToFit="1"/>
    </xf>
    <xf numFmtId="0" fontId="28" fillId="0" borderId="117" xfId="0" applyFont="1" applyFill="1" applyBorder="1" applyAlignment="1">
      <alignment horizontal="center" vertical="center" shrinkToFit="1"/>
    </xf>
    <xf numFmtId="0" fontId="97" fillId="43" borderId="0" xfId="0" applyFont="1" applyFill="1" applyBorder="1" applyAlignment="1">
      <alignment horizontal="center" vertical="center"/>
    </xf>
    <xf numFmtId="0" fontId="66" fillId="43" borderId="138" xfId="0" applyFont="1" applyFill="1" applyBorder="1" applyAlignment="1">
      <alignment horizontal="distributed" vertical="center" indent="1"/>
    </xf>
    <xf numFmtId="0" fontId="66" fillId="43" borderId="135" xfId="0" applyFont="1" applyFill="1" applyBorder="1" applyAlignment="1">
      <alignment horizontal="distributed" vertical="center" indent="1"/>
    </xf>
    <xf numFmtId="0" fontId="66" fillId="43" borderId="139" xfId="0" applyFont="1" applyFill="1" applyBorder="1" applyAlignment="1">
      <alignment horizontal="distributed" vertical="center" indent="1"/>
    </xf>
    <xf numFmtId="0" fontId="66" fillId="43" borderId="53" xfId="0" applyFont="1" applyFill="1" applyBorder="1" applyAlignment="1">
      <alignment horizontal="distributed" vertical="center" indent="1"/>
    </xf>
    <xf numFmtId="0" fontId="26" fillId="3" borderId="120" xfId="0" applyFont="1" applyFill="1" applyBorder="1" applyAlignment="1" applyProtection="1">
      <alignment horizontal="left" vertical="center" wrapText="1"/>
      <protection locked="0"/>
    </xf>
    <xf numFmtId="0" fontId="26" fillId="3" borderId="122" xfId="0" applyFont="1" applyFill="1" applyBorder="1" applyAlignment="1" applyProtection="1">
      <alignment horizontal="left" vertical="center" wrapText="1"/>
      <protection locked="0"/>
    </xf>
    <xf numFmtId="0" fontId="26" fillId="3" borderId="38" xfId="0" applyFont="1" applyFill="1" applyBorder="1" applyAlignment="1" applyProtection="1">
      <alignment horizontal="left" vertical="center" wrapText="1"/>
      <protection locked="0"/>
    </xf>
    <xf numFmtId="0" fontId="26" fillId="3" borderId="123" xfId="0" applyFont="1" applyFill="1" applyBorder="1" applyAlignment="1" applyProtection="1">
      <alignment horizontal="left" vertical="center" wrapText="1"/>
      <protection locked="0"/>
    </xf>
    <xf numFmtId="0" fontId="66" fillId="43" borderId="113" xfId="0" applyFont="1" applyFill="1" applyBorder="1" applyAlignment="1">
      <alignment horizontal="distributed" vertical="center" indent="1"/>
    </xf>
    <xf numFmtId="0" fontId="66" fillId="43" borderId="114" xfId="0" applyFont="1" applyFill="1" applyBorder="1" applyAlignment="1">
      <alignment horizontal="distributed" vertical="center" indent="1"/>
    </xf>
    <xf numFmtId="185" fontId="26" fillId="3" borderId="115" xfId="4" applyNumberFormat="1" applyFont="1" applyFill="1" applyBorder="1" applyAlignment="1" applyProtection="1">
      <alignment horizontal="right" vertical="center" shrinkToFit="1"/>
      <protection locked="0"/>
    </xf>
    <xf numFmtId="185" fontId="26" fillId="3" borderId="116" xfId="4" applyNumberFormat="1" applyFont="1" applyFill="1" applyBorder="1" applyAlignment="1" applyProtection="1">
      <alignment horizontal="right" vertical="center" shrinkToFit="1"/>
      <protection locked="0"/>
    </xf>
    <xf numFmtId="0" fontId="66" fillId="43" borderId="118" xfId="0" applyFont="1" applyFill="1" applyBorder="1" applyAlignment="1">
      <alignment horizontal="center" vertical="center" shrinkToFit="1"/>
    </xf>
    <xf numFmtId="0" fontId="66" fillId="43" borderId="88" xfId="0" applyFont="1" applyFill="1" applyBorder="1" applyAlignment="1">
      <alignment horizontal="center" vertical="center" shrinkToFit="1"/>
    </xf>
    <xf numFmtId="185" fontId="26" fillId="3" borderId="103" xfId="4" applyNumberFormat="1" applyFont="1" applyFill="1" applyBorder="1" applyAlignment="1" applyProtection="1">
      <alignment horizontal="right" vertical="center" shrinkToFit="1"/>
      <protection locked="0"/>
    </xf>
    <xf numFmtId="185" fontId="26" fillId="3" borderId="106" xfId="4" applyNumberFormat="1" applyFont="1" applyFill="1" applyBorder="1" applyAlignment="1" applyProtection="1">
      <alignment horizontal="right" vertical="center" shrinkToFit="1"/>
      <protection locked="0"/>
    </xf>
    <xf numFmtId="0" fontId="28" fillId="0" borderId="106" xfId="0" applyFont="1" applyFill="1" applyBorder="1" applyAlignment="1">
      <alignment horizontal="center" vertical="center" shrinkToFit="1"/>
    </xf>
    <xf numFmtId="0" fontId="28" fillId="0" borderId="107" xfId="0" applyFont="1" applyFill="1" applyBorder="1" applyAlignment="1">
      <alignment horizontal="center" vertical="center" shrinkToFit="1"/>
    </xf>
    <xf numFmtId="0" fontId="66" fillId="46" borderId="0" xfId="0" applyFont="1" applyFill="1" applyBorder="1" applyAlignment="1">
      <alignment horizontal="left" vertical="center"/>
    </xf>
    <xf numFmtId="0" fontId="67" fillId="46" borderId="0" xfId="0" applyFont="1" applyFill="1" applyBorder="1" applyAlignment="1">
      <alignment horizontal="center" vertical="center"/>
    </xf>
    <xf numFmtId="0" fontId="66" fillId="43" borderId="0" xfId="0" applyFont="1" applyFill="1" applyBorder="1" applyAlignment="1">
      <alignment horizontal="right" vertical="top"/>
    </xf>
    <xf numFmtId="0" fontId="19" fillId="0" borderId="0" xfId="0" applyFont="1" applyFill="1" applyBorder="1" applyAlignment="1" applyProtection="1">
      <alignment horizontal="center" vertical="center" shrinkToFit="1"/>
    </xf>
    <xf numFmtId="185" fontId="26" fillId="40" borderId="110" xfId="4" applyNumberFormat="1" applyFont="1" applyFill="1" applyBorder="1" applyAlignment="1">
      <alignment horizontal="right" vertical="center" shrinkToFit="1"/>
    </xf>
    <xf numFmtId="185" fontId="26" fillId="40" borderId="111" xfId="4" applyNumberFormat="1" applyFont="1" applyFill="1" applyBorder="1" applyAlignment="1">
      <alignment horizontal="right" vertical="center" shrinkToFit="1"/>
    </xf>
    <xf numFmtId="0" fontId="66" fillId="43" borderId="118" xfId="0" applyFont="1" applyFill="1" applyBorder="1" applyAlignment="1">
      <alignment horizontal="distributed" vertical="center" indent="1"/>
    </xf>
    <xf numFmtId="0" fontId="66" fillId="43" borderId="88" xfId="0" applyFont="1" applyFill="1" applyBorder="1" applyAlignment="1">
      <alignment horizontal="distributed" vertical="center" indent="1"/>
    </xf>
    <xf numFmtId="185" fontId="26" fillId="3" borderId="105" xfId="4" applyNumberFormat="1" applyFont="1" applyFill="1" applyBorder="1" applyAlignment="1" applyProtection="1">
      <alignment horizontal="right" vertical="center" shrinkToFit="1"/>
      <protection locked="0"/>
    </xf>
    <xf numFmtId="185" fontId="26" fillId="3" borderId="102" xfId="4" applyNumberFormat="1" applyFont="1" applyFill="1" applyBorder="1" applyAlignment="1" applyProtection="1">
      <alignment horizontal="right" vertical="center" shrinkToFit="1"/>
      <protection locked="0"/>
    </xf>
    <xf numFmtId="0" fontId="28" fillId="0" borderId="102" xfId="0" applyFont="1" applyFill="1" applyBorder="1" applyAlignment="1">
      <alignment horizontal="center" vertical="center" shrinkToFit="1"/>
    </xf>
    <xf numFmtId="0" fontId="28" fillId="0" borderId="108" xfId="0" applyFont="1" applyFill="1" applyBorder="1" applyAlignment="1">
      <alignment horizontal="center" vertical="center" shrinkToFit="1"/>
    </xf>
    <xf numFmtId="0" fontId="28" fillId="0" borderId="111" xfId="0" applyFont="1" applyFill="1" applyBorder="1" applyAlignment="1">
      <alignment horizontal="center" vertical="center" shrinkToFit="1"/>
    </xf>
    <xf numFmtId="0" fontId="28" fillId="0" borderId="112" xfId="0" applyFont="1" applyFill="1" applyBorder="1" applyAlignment="1">
      <alignment horizontal="center" vertical="center" shrinkToFit="1"/>
    </xf>
    <xf numFmtId="0" fontId="66" fillId="43" borderId="121" xfId="0" applyFont="1" applyFill="1" applyBorder="1" applyAlignment="1">
      <alignment horizontal="distributed" vertical="center" indent="1"/>
    </xf>
    <xf numFmtId="0" fontId="28" fillId="40" borderId="38" xfId="0" applyFont="1" applyFill="1" applyBorder="1" applyAlignment="1">
      <alignment horizontal="center" vertical="center"/>
    </xf>
    <xf numFmtId="0" fontId="28" fillId="40" borderId="123" xfId="0" applyFont="1" applyFill="1" applyBorder="1" applyAlignment="1">
      <alignment horizontal="center" vertical="center"/>
    </xf>
    <xf numFmtId="0" fontId="66" fillId="43" borderId="129" xfId="0" applyFont="1" applyFill="1" applyBorder="1" applyAlignment="1">
      <alignment horizontal="distributed" vertical="center" indent="1"/>
    </xf>
    <xf numFmtId="0" fontId="66" fillId="43" borderId="126" xfId="0" applyFont="1" applyFill="1" applyBorder="1" applyAlignment="1">
      <alignment horizontal="distributed" vertical="center" indent="1"/>
    </xf>
    <xf numFmtId="0" fontId="66" fillId="43" borderId="130" xfId="0" applyFont="1" applyFill="1" applyBorder="1" applyAlignment="1">
      <alignment horizontal="distributed" vertical="center" indent="1"/>
    </xf>
    <xf numFmtId="0" fontId="66" fillId="43" borderId="124" xfId="0" applyFont="1" applyFill="1" applyBorder="1" applyAlignment="1">
      <alignment horizontal="distributed" vertical="center" indent="1"/>
    </xf>
    <xf numFmtId="187" fontId="26" fillId="3" borderId="127" xfId="0" applyNumberFormat="1" applyFont="1" applyFill="1" applyBorder="1" applyAlignment="1" applyProtection="1">
      <alignment horizontal="right" vertical="center" shrinkToFit="1"/>
      <protection locked="0"/>
    </xf>
    <xf numFmtId="187" fontId="26" fillId="3" borderId="124" xfId="0" applyNumberFormat="1" applyFont="1" applyFill="1" applyBorder="1" applyAlignment="1" applyProtection="1">
      <alignment horizontal="right" vertical="center" shrinkToFit="1"/>
      <protection locked="0"/>
    </xf>
    <xf numFmtId="0" fontId="28" fillId="0" borderId="127" xfId="0" applyFont="1" applyFill="1" applyBorder="1" applyAlignment="1">
      <alignment horizontal="center" vertical="center" shrinkToFit="1"/>
    </xf>
    <xf numFmtId="0" fontId="28" fillId="0" borderId="128" xfId="0" applyFont="1" applyFill="1" applyBorder="1" applyAlignment="1">
      <alignment horizontal="center" vertical="center" shrinkToFit="1"/>
    </xf>
    <xf numFmtId="0" fontId="28" fillId="0" borderId="124" xfId="0" applyFont="1" applyFill="1" applyBorder="1" applyAlignment="1">
      <alignment horizontal="center" vertical="center" shrinkToFit="1"/>
    </xf>
    <xf numFmtId="0" fontId="28" fillId="0" borderId="125" xfId="0" applyFont="1" applyFill="1" applyBorder="1" applyAlignment="1">
      <alignment horizontal="center" vertical="center" shrinkToFit="1"/>
    </xf>
    <xf numFmtId="0" fontId="66" fillId="43" borderId="119" xfId="0" applyFont="1" applyFill="1" applyBorder="1" applyAlignment="1">
      <alignment horizontal="distributed" vertical="center" indent="1"/>
    </xf>
    <xf numFmtId="0" fontId="66" fillId="43" borderId="109" xfId="0" applyFont="1" applyFill="1" applyBorder="1" applyAlignment="1">
      <alignment horizontal="distributed" vertical="center" indent="1"/>
    </xf>
    <xf numFmtId="0" fontId="81" fillId="34" borderId="86" xfId="0" applyFont="1" applyFill="1" applyBorder="1" applyAlignment="1">
      <alignment horizontal="center" vertical="center"/>
    </xf>
    <xf numFmtId="0" fontId="81" fillId="34" borderId="87" xfId="0" applyFont="1" applyFill="1" applyBorder="1" applyAlignment="1">
      <alignment horizontal="center" vertical="center"/>
    </xf>
    <xf numFmtId="0" fontId="81" fillId="25" borderId="86" xfId="0" applyFont="1" applyFill="1" applyBorder="1" applyAlignment="1">
      <alignment horizontal="center" vertical="center"/>
    </xf>
    <xf numFmtId="0" fontId="81" fillId="25" borderId="87" xfId="0" applyFont="1" applyFill="1" applyBorder="1" applyAlignment="1">
      <alignment horizontal="center" vertical="center"/>
    </xf>
    <xf numFmtId="0" fontId="81" fillId="35" borderId="86" xfId="0" applyFont="1" applyFill="1" applyBorder="1" applyAlignment="1">
      <alignment horizontal="center" vertical="center"/>
    </xf>
    <xf numFmtId="0" fontId="81" fillId="35" borderId="87" xfId="0" applyFont="1" applyFill="1" applyBorder="1" applyAlignment="1">
      <alignment horizontal="center" vertical="center"/>
    </xf>
    <xf numFmtId="0" fontId="81" fillId="37" borderId="86" xfId="0" applyFont="1" applyFill="1" applyBorder="1" applyAlignment="1">
      <alignment horizontal="center" vertical="center"/>
    </xf>
    <xf numFmtId="0" fontId="81" fillId="37" borderId="87" xfId="0" applyFont="1" applyFill="1" applyBorder="1" applyAlignment="1">
      <alignment horizontal="center" vertical="center"/>
    </xf>
    <xf numFmtId="0" fontId="81" fillId="36" borderId="86" xfId="0" applyFont="1" applyFill="1" applyBorder="1" applyAlignment="1">
      <alignment horizontal="center" vertical="center"/>
    </xf>
    <xf numFmtId="0" fontId="81" fillId="36" borderId="87" xfId="0" applyFont="1" applyFill="1" applyBorder="1" applyAlignment="1">
      <alignment horizontal="center" vertical="center"/>
    </xf>
    <xf numFmtId="49" fontId="19" fillId="3" borderId="69" xfId="0" applyNumberFormat="1" applyFont="1" applyFill="1" applyBorder="1" applyAlignment="1" applyProtection="1">
      <alignment horizontal="center" vertical="center" shrinkToFit="1"/>
      <protection locked="0"/>
    </xf>
    <xf numFmtId="49" fontId="19" fillId="3" borderId="70" xfId="0" applyNumberFormat="1" applyFont="1" applyFill="1" applyBorder="1" applyAlignment="1" applyProtection="1">
      <alignment horizontal="center" vertical="center" shrinkToFit="1"/>
      <protection locked="0"/>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19" fillId="40" borderId="39" xfId="0" applyFont="1" applyFill="1" applyBorder="1" applyAlignment="1">
      <alignment horizontal="center" vertical="center"/>
    </xf>
    <xf numFmtId="0" fontId="19" fillId="40" borderId="40" xfId="0" applyFont="1" applyFill="1" applyBorder="1" applyAlignment="1">
      <alignment horizontal="center" vertical="center"/>
    </xf>
    <xf numFmtId="0" fontId="19" fillId="40" borderId="45" xfId="0" applyFont="1" applyFill="1" applyBorder="1" applyAlignment="1">
      <alignment horizontal="center" vertical="center"/>
    </xf>
    <xf numFmtId="0" fontId="61" fillId="22" borderId="153" xfId="0" applyFont="1" applyFill="1" applyBorder="1" applyAlignment="1">
      <alignment horizontal="distributed" vertical="center" indent="1"/>
    </xf>
    <xf numFmtId="0" fontId="61" fillId="22" borderId="135" xfId="0" applyFont="1" applyFill="1" applyBorder="1" applyAlignment="1">
      <alignment horizontal="distributed" vertical="center" indent="1"/>
    </xf>
    <xf numFmtId="0" fontId="61" fillId="22" borderId="154" xfId="0" applyFont="1" applyFill="1" applyBorder="1" applyAlignment="1">
      <alignment horizontal="distributed" vertical="center" indent="1"/>
    </xf>
    <xf numFmtId="0" fontId="61" fillId="22" borderId="155" xfId="0" applyFont="1" applyFill="1" applyBorder="1" applyAlignment="1">
      <alignment horizontal="distributed" vertical="center" indent="1"/>
    </xf>
    <xf numFmtId="0" fontId="61" fillId="22" borderId="53" xfId="0" applyFont="1" applyFill="1" applyBorder="1" applyAlignment="1">
      <alignment horizontal="distributed" vertical="center" indent="1"/>
    </xf>
    <xf numFmtId="0" fontId="61" fillId="22" borderId="156" xfId="0" applyFont="1" applyFill="1" applyBorder="1" applyAlignment="1">
      <alignment horizontal="distributed" vertical="center" indent="1"/>
    </xf>
    <xf numFmtId="0" fontId="60" fillId="22" borderId="41" xfId="0" applyFont="1" applyFill="1" applyBorder="1" applyAlignment="1">
      <alignment horizontal="distributed" vertical="center" indent="1"/>
    </xf>
    <xf numFmtId="0" fontId="60" fillId="22" borderId="35" xfId="0" applyFont="1" applyFill="1" applyBorder="1" applyAlignment="1">
      <alignment horizontal="distributed" vertical="center" indent="1"/>
    </xf>
    <xf numFmtId="0" fontId="19" fillId="40" borderId="47" xfId="0" applyFont="1" applyFill="1" applyBorder="1" applyAlignment="1" applyProtection="1">
      <alignment horizontal="left" vertical="center" wrapText="1"/>
    </xf>
    <xf numFmtId="0" fontId="19" fillId="40" borderId="48" xfId="0" applyFont="1" applyFill="1" applyBorder="1" applyAlignment="1" applyProtection="1">
      <alignment horizontal="left" vertical="center" wrapText="1"/>
    </xf>
    <xf numFmtId="0" fontId="19" fillId="40" borderId="49" xfId="0" applyFont="1" applyFill="1" applyBorder="1" applyAlignment="1" applyProtection="1">
      <alignment horizontal="left" vertical="center" wrapText="1"/>
    </xf>
    <xf numFmtId="0" fontId="19" fillId="40" borderId="39" xfId="0" applyFont="1" applyFill="1" applyBorder="1" applyAlignment="1" applyProtection="1">
      <alignment horizontal="left" vertical="center" wrapText="1"/>
    </xf>
    <xf numFmtId="0" fontId="19" fillId="40" borderId="40" xfId="0" applyFont="1" applyFill="1" applyBorder="1" applyAlignment="1" applyProtection="1">
      <alignment horizontal="left" vertical="center" wrapText="1"/>
    </xf>
    <xf numFmtId="0" fontId="19" fillId="40" borderId="45" xfId="0" applyFont="1" applyFill="1" applyBorder="1" applyAlignment="1" applyProtection="1">
      <alignment horizontal="left" vertical="center" wrapText="1"/>
    </xf>
    <xf numFmtId="0" fontId="61" fillId="17" borderId="0" xfId="0" applyFont="1" applyFill="1" applyBorder="1" applyAlignment="1">
      <alignment horizontal="left" vertical="top" wrapText="1"/>
    </xf>
    <xf numFmtId="0" fontId="60" fillId="17" borderId="0" xfId="0" applyFont="1" applyFill="1" applyBorder="1" applyAlignment="1">
      <alignment horizontal="left" vertical="top"/>
    </xf>
    <xf numFmtId="49" fontId="19" fillId="3" borderId="132" xfId="0" applyNumberFormat="1" applyFont="1" applyFill="1" applyBorder="1" applyAlignment="1" applyProtection="1">
      <alignment horizontal="center" vertical="center" shrinkToFit="1"/>
      <protection locked="0"/>
    </xf>
    <xf numFmtId="49" fontId="19" fillId="3" borderId="120" xfId="0" applyNumberFormat="1" applyFont="1" applyFill="1" applyBorder="1" applyAlignment="1" applyProtection="1">
      <alignment horizontal="center" vertical="center" shrinkToFit="1"/>
      <protection locked="0"/>
    </xf>
    <xf numFmtId="49" fontId="19" fillId="3" borderId="71" xfId="0" applyNumberFormat="1" applyFont="1" applyFill="1" applyBorder="1" applyAlignment="1" applyProtection="1">
      <alignment horizontal="center" vertical="center" shrinkToFit="1"/>
      <protection locked="0"/>
    </xf>
    <xf numFmtId="0" fontId="20" fillId="42" borderId="72" xfId="0" applyFont="1" applyFill="1" applyBorder="1" applyAlignment="1">
      <alignment horizontal="center" vertical="center" shrinkToFit="1"/>
    </xf>
    <xf numFmtId="0" fontId="20" fillId="42" borderId="73" xfId="0" applyFont="1" applyFill="1" applyBorder="1" applyAlignment="1">
      <alignment horizontal="center" vertical="center" shrinkToFit="1"/>
    </xf>
    <xf numFmtId="0" fontId="20" fillId="42" borderId="74" xfId="0" applyFont="1" applyFill="1" applyBorder="1" applyAlignment="1">
      <alignment horizontal="center" vertical="center" shrinkToFit="1"/>
    </xf>
    <xf numFmtId="0" fontId="19" fillId="0" borderId="48" xfId="0" applyFont="1" applyFill="1" applyBorder="1" applyAlignment="1">
      <alignment horizontal="center" vertical="center" shrinkToFit="1"/>
    </xf>
    <xf numFmtId="0" fontId="19" fillId="0" borderId="49" xfId="0" applyFont="1" applyFill="1" applyBorder="1" applyAlignment="1">
      <alignment horizontal="center" vertical="center" shrinkToFit="1"/>
    </xf>
    <xf numFmtId="0" fontId="68" fillId="22" borderId="89" xfId="0" applyFont="1" applyFill="1" applyBorder="1" applyAlignment="1">
      <alignment horizontal="center" vertical="center" textRotation="255" shrinkToFit="1"/>
    </xf>
    <xf numFmtId="0" fontId="19" fillId="0" borderId="40" xfId="0" applyFont="1" applyFill="1" applyBorder="1" applyAlignment="1">
      <alignment horizontal="center" vertical="center" shrinkToFit="1"/>
    </xf>
    <xf numFmtId="0" fontId="19" fillId="0" borderId="45" xfId="0" applyFont="1" applyFill="1" applyBorder="1" applyAlignment="1">
      <alignment horizontal="center" vertical="center" shrinkToFit="1"/>
    </xf>
    <xf numFmtId="0" fontId="61" fillId="17" borderId="0" xfId="0" applyFont="1" applyFill="1" applyBorder="1" applyAlignment="1">
      <alignment horizontal="right" vertical="top" wrapText="1"/>
    </xf>
    <xf numFmtId="0" fontId="19" fillId="0" borderId="90" xfId="0" applyFont="1" applyFill="1" applyBorder="1" applyAlignment="1">
      <alignment horizontal="center" vertical="center" shrinkToFit="1"/>
    </xf>
    <xf numFmtId="0" fontId="19" fillId="0" borderId="91" xfId="0" applyFont="1" applyFill="1" applyBorder="1" applyAlignment="1">
      <alignment horizontal="center" vertical="center" shrinkToFit="1"/>
    </xf>
    <xf numFmtId="187" fontId="19" fillId="40" borderId="96" xfId="0" applyNumberFormat="1" applyFont="1" applyFill="1" applyBorder="1" applyAlignment="1" applyProtection="1">
      <alignment horizontal="right" vertical="center" shrinkToFit="1"/>
    </xf>
    <xf numFmtId="187" fontId="19" fillId="40" borderId="100" xfId="0" applyNumberFormat="1" applyFont="1" applyFill="1" applyBorder="1" applyAlignment="1" applyProtection="1">
      <alignment horizontal="right" vertical="center" shrinkToFit="1"/>
    </xf>
    <xf numFmtId="187" fontId="19" fillId="3" borderId="98" xfId="0" applyNumberFormat="1" applyFont="1" applyFill="1" applyBorder="1" applyAlignment="1" applyProtection="1">
      <alignment horizontal="right" vertical="center" shrinkToFit="1"/>
      <protection locked="0"/>
    </xf>
    <xf numFmtId="187" fontId="19" fillId="3" borderId="101" xfId="0" applyNumberFormat="1" applyFont="1" applyFill="1" applyBorder="1" applyAlignment="1" applyProtection="1">
      <alignment horizontal="right" vertical="center" shrinkToFit="1"/>
      <protection locked="0"/>
    </xf>
    <xf numFmtId="187" fontId="19" fillId="3" borderId="97" xfId="0" applyNumberFormat="1" applyFont="1" applyFill="1" applyBorder="1" applyAlignment="1" applyProtection="1">
      <alignment horizontal="right" vertical="center" shrinkToFit="1"/>
      <protection locked="0"/>
    </xf>
    <xf numFmtId="187" fontId="19" fillId="3" borderId="99" xfId="0" applyNumberFormat="1" applyFont="1" applyFill="1" applyBorder="1" applyAlignment="1" applyProtection="1">
      <alignment horizontal="right" vertical="center" shrinkToFit="1"/>
      <protection locked="0"/>
    </xf>
    <xf numFmtId="0" fontId="60" fillId="22" borderId="95" xfId="0" applyFont="1" applyFill="1" applyBorder="1" applyAlignment="1">
      <alignment horizontal="distributed" vertical="center" indent="1" shrinkToFit="1"/>
    </xf>
    <xf numFmtId="0" fontId="60" fillId="22" borderId="88" xfId="0" applyFont="1" applyFill="1" applyBorder="1" applyAlignment="1">
      <alignment horizontal="distributed" vertical="center" indent="1" shrinkToFit="1"/>
    </xf>
    <xf numFmtId="0" fontId="61" fillId="33" borderId="36" xfId="0" applyFont="1" applyFill="1" applyBorder="1" applyAlignment="1">
      <alignment horizontal="center" vertical="center"/>
    </xf>
    <xf numFmtId="0" fontId="26" fillId="39" borderId="79" xfId="0" applyFont="1" applyFill="1" applyBorder="1" applyAlignment="1" applyProtection="1">
      <alignment horizontal="center" vertical="center" shrinkToFit="1"/>
      <protection locked="0"/>
    </xf>
    <xf numFmtId="0" fontId="26" fillId="39" borderId="80" xfId="0" applyFont="1" applyFill="1" applyBorder="1" applyAlignment="1" applyProtection="1">
      <alignment horizontal="center" vertical="center" shrinkToFit="1"/>
      <protection locked="0"/>
    </xf>
    <xf numFmtId="0" fontId="26" fillId="39" borderId="81" xfId="0" applyFont="1" applyFill="1" applyBorder="1" applyAlignment="1" applyProtection="1">
      <alignment horizontal="center" vertical="center" shrinkToFit="1"/>
      <protection locked="0"/>
    </xf>
    <xf numFmtId="0" fontId="19" fillId="3" borderId="92" xfId="0" applyFont="1" applyFill="1" applyBorder="1" applyAlignment="1" applyProtection="1">
      <alignment horizontal="left" vertical="center" indent="1"/>
      <protection locked="0"/>
    </xf>
    <xf numFmtId="0" fontId="19" fillId="3" borderId="93" xfId="0" applyFont="1" applyFill="1" applyBorder="1" applyAlignment="1" applyProtection="1">
      <alignment horizontal="left" vertical="center" indent="1"/>
      <protection locked="0"/>
    </xf>
    <xf numFmtId="0" fontId="19" fillId="3" borderId="94" xfId="0" applyFont="1" applyFill="1" applyBorder="1" applyAlignment="1" applyProtection="1">
      <alignment horizontal="left" vertical="center" indent="1"/>
      <protection locked="0"/>
    </xf>
    <xf numFmtId="0" fontId="62" fillId="38" borderId="76" xfId="0" applyFont="1" applyFill="1" applyBorder="1" applyAlignment="1">
      <alignment horizontal="center" vertical="center" wrapText="1"/>
    </xf>
    <xf numFmtId="0" fontId="62" fillId="38" borderId="76" xfId="0" applyFont="1" applyFill="1" applyBorder="1" applyAlignment="1">
      <alignment horizontal="center" vertical="center"/>
    </xf>
    <xf numFmtId="0" fontId="62" fillId="38" borderId="0" xfId="0" applyFont="1" applyFill="1" applyBorder="1" applyAlignment="1">
      <alignment horizontal="center" vertical="center"/>
    </xf>
    <xf numFmtId="0" fontId="61" fillId="33" borderId="37" xfId="0" applyFont="1" applyFill="1" applyBorder="1" applyAlignment="1">
      <alignment horizontal="center" vertical="center"/>
    </xf>
    <xf numFmtId="0" fontId="60" fillId="24" borderId="36" xfId="0" applyFont="1" applyFill="1" applyBorder="1" applyAlignment="1">
      <alignment horizontal="center" vertical="center"/>
    </xf>
    <xf numFmtId="0" fontId="48" fillId="0" borderId="0" xfId="0" applyFont="1" applyFill="1" applyBorder="1" applyAlignment="1">
      <alignment horizontal="left" vertical="center" wrapText="1" shrinkToFit="1"/>
    </xf>
    <xf numFmtId="49" fontId="19" fillId="0" borderId="0" xfId="0" applyNumberFormat="1" applyFont="1" applyFill="1" applyBorder="1" applyAlignment="1" applyProtection="1">
      <alignment horizontal="center" vertical="center" shrinkToFit="1"/>
      <protection locked="0"/>
    </xf>
    <xf numFmtId="0" fontId="60" fillId="0" borderId="0" xfId="0" applyFont="1" applyFill="1" applyBorder="1" applyAlignment="1">
      <alignment horizontal="center" vertical="center"/>
    </xf>
    <xf numFmtId="0" fontId="29" fillId="21" borderId="37" xfId="0" applyFont="1" applyFill="1" applyBorder="1" applyAlignment="1">
      <alignment horizontal="center" vertical="center" textRotation="255"/>
    </xf>
    <xf numFmtId="0" fontId="29" fillId="21" borderId="36" xfId="0" applyFont="1" applyFill="1" applyBorder="1" applyAlignment="1">
      <alignment horizontal="center" vertical="center" textRotation="255"/>
    </xf>
    <xf numFmtId="0" fontId="60" fillId="24" borderId="77" xfId="0" applyFont="1" applyFill="1" applyBorder="1" applyAlignment="1">
      <alignment horizontal="center" vertical="center" wrapText="1"/>
    </xf>
    <xf numFmtId="0" fontId="60" fillId="24" borderId="75" xfId="0" applyFont="1" applyFill="1" applyBorder="1" applyAlignment="1">
      <alignment horizontal="center" vertical="center"/>
    </xf>
    <xf numFmtId="0" fontId="60" fillId="24" borderId="68" xfId="0" applyFont="1" applyFill="1" applyBorder="1" applyAlignment="1">
      <alignment horizontal="center" vertical="center"/>
    </xf>
    <xf numFmtId="0" fontId="60" fillId="24" borderId="66" xfId="0" applyFont="1" applyFill="1" applyBorder="1" applyAlignment="1">
      <alignment horizontal="center" vertical="center"/>
    </xf>
    <xf numFmtId="0" fontId="81" fillId="33" borderId="77" xfId="0" applyFont="1" applyFill="1" applyBorder="1" applyAlignment="1">
      <alignment horizontal="center" vertical="center"/>
    </xf>
    <xf numFmtId="0" fontId="81" fillId="33" borderId="75" xfId="0" applyFont="1" applyFill="1" applyBorder="1" applyAlignment="1">
      <alignment horizontal="center" vertical="center"/>
    </xf>
    <xf numFmtId="0" fontId="19" fillId="41" borderId="141" xfId="0" applyFont="1" applyFill="1" applyBorder="1" applyAlignment="1">
      <alignment horizontal="left" vertical="center" wrapText="1" indent="1"/>
    </xf>
    <xf numFmtId="0" fontId="19" fillId="41" borderId="38" xfId="0" applyFont="1" applyFill="1" applyBorder="1" applyAlignment="1">
      <alignment horizontal="left" vertical="center" wrapText="1" indent="1"/>
    </xf>
    <xf numFmtId="0" fontId="19" fillId="41" borderId="38" xfId="0" applyFont="1" applyFill="1" applyBorder="1" applyAlignment="1">
      <alignment horizontal="left" vertical="center" wrapText="1"/>
    </xf>
    <xf numFmtId="0" fontId="61" fillId="37" borderId="36" xfId="0" applyFont="1" applyFill="1" applyBorder="1" applyAlignment="1">
      <alignment horizontal="center" vertical="center"/>
    </xf>
    <xf numFmtId="0" fontId="19" fillId="26" borderId="142" xfId="0" applyFont="1" applyFill="1" applyBorder="1" applyAlignment="1">
      <alignment horizontal="left" vertical="center" wrapText="1" indent="1"/>
    </xf>
    <xf numFmtId="0" fontId="19" fillId="26" borderId="143" xfId="0" applyFont="1" applyFill="1" applyBorder="1" applyAlignment="1">
      <alignment horizontal="left" vertical="center" wrapText="1" indent="1"/>
    </xf>
    <xf numFmtId="0" fontId="19" fillId="41" borderId="68" xfId="0" applyFont="1" applyFill="1" applyBorder="1" applyAlignment="1">
      <alignment horizontal="left" vertical="center" wrapText="1" indent="1"/>
    </xf>
    <xf numFmtId="0" fontId="19" fillId="41" borderId="65" xfId="0" applyFont="1" applyFill="1" applyBorder="1" applyAlignment="1">
      <alignment horizontal="left" vertical="center" wrapText="1" indent="1"/>
    </xf>
    <xf numFmtId="0" fontId="19" fillId="41" borderId="42" xfId="0" applyFont="1" applyFill="1" applyBorder="1" applyAlignment="1">
      <alignment horizontal="left" vertical="center" wrapText="1"/>
    </xf>
    <xf numFmtId="0" fontId="19" fillId="26" borderId="52" xfId="0" applyFont="1" applyFill="1" applyBorder="1" applyAlignment="1">
      <alignment horizontal="left" vertical="center" wrapText="1"/>
    </xf>
    <xf numFmtId="0" fontId="19" fillId="26" borderId="144" xfId="0" applyFont="1" applyFill="1" applyBorder="1" applyAlignment="1">
      <alignment horizontal="left" vertical="center" wrapText="1" indent="1"/>
    </xf>
    <xf numFmtId="0" fontId="19" fillId="26" borderId="145" xfId="0" applyFont="1" applyFill="1" applyBorder="1" applyAlignment="1">
      <alignment horizontal="left" vertical="center" wrapText="1" indent="1"/>
    </xf>
    <xf numFmtId="0" fontId="61" fillId="34" borderId="36" xfId="0" applyFont="1" applyFill="1" applyBorder="1" applyAlignment="1">
      <alignment horizontal="center" vertical="center"/>
    </xf>
    <xf numFmtId="0" fontId="61" fillId="35" borderId="36" xfId="0" applyFont="1" applyFill="1" applyBorder="1" applyAlignment="1">
      <alignment horizontal="center" vertical="center"/>
    </xf>
    <xf numFmtId="0" fontId="61" fillId="36" borderId="36" xfId="0" applyFont="1" applyFill="1" applyBorder="1" applyAlignment="1">
      <alignment horizontal="center" vertical="center"/>
    </xf>
    <xf numFmtId="0" fontId="61" fillId="25" borderId="36" xfId="0" applyFont="1" applyFill="1" applyBorder="1" applyAlignment="1">
      <alignment horizontal="center" vertical="center"/>
    </xf>
    <xf numFmtId="0" fontId="19" fillId="28" borderId="42" xfId="0" applyFont="1" applyFill="1" applyBorder="1" applyAlignment="1">
      <alignment horizontal="left" vertical="center" wrapText="1"/>
    </xf>
    <xf numFmtId="0" fontId="19" fillId="29" borderId="52" xfId="0" applyFont="1" applyFill="1" applyBorder="1" applyAlignment="1">
      <alignment horizontal="left" vertical="center" wrapText="1"/>
    </xf>
    <xf numFmtId="0" fontId="19" fillId="29" borderId="38" xfId="0" applyFont="1" applyFill="1" applyBorder="1" applyAlignment="1">
      <alignment horizontal="left" vertical="center" wrapText="1"/>
    </xf>
    <xf numFmtId="0" fontId="19" fillId="30" borderId="38" xfId="0" applyFont="1" applyFill="1" applyBorder="1" applyAlignment="1">
      <alignment horizontal="left" vertical="center" wrapText="1"/>
    </xf>
    <xf numFmtId="0" fontId="19" fillId="29" borderId="68" xfId="0" applyFont="1" applyFill="1" applyBorder="1" applyAlignment="1">
      <alignment horizontal="left" vertical="center" wrapText="1" indent="1"/>
    </xf>
    <xf numFmtId="0" fontId="19" fillId="29" borderId="65" xfId="0" applyFont="1" applyFill="1" applyBorder="1" applyAlignment="1">
      <alignment horizontal="left" vertical="center" wrapText="1" indent="1"/>
    </xf>
    <xf numFmtId="0" fontId="19" fillId="29" borderId="144" xfId="0" applyFont="1" applyFill="1" applyBorder="1" applyAlignment="1">
      <alignment horizontal="left" vertical="center" wrapText="1" indent="1"/>
    </xf>
    <xf numFmtId="0" fontId="19" fillId="29" borderId="145" xfId="0" applyFont="1" applyFill="1" applyBorder="1" applyAlignment="1">
      <alignment horizontal="left" vertical="center" wrapText="1" indent="1"/>
    </xf>
    <xf numFmtId="0" fontId="19" fillId="29" borderId="142" xfId="0" applyFont="1" applyFill="1" applyBorder="1" applyAlignment="1">
      <alignment horizontal="left" vertical="center" wrapText="1" indent="1"/>
    </xf>
    <xf numFmtId="0" fontId="19" fillId="29" borderId="143" xfId="0" applyFont="1" applyFill="1" applyBorder="1" applyAlignment="1">
      <alignment horizontal="left" vertical="center" wrapText="1" indent="1"/>
    </xf>
    <xf numFmtId="0" fontId="19" fillId="28" borderId="144" xfId="0" applyFont="1" applyFill="1" applyBorder="1" applyAlignment="1">
      <alignment horizontal="left" vertical="center" wrapText="1" indent="1"/>
    </xf>
    <xf numFmtId="0" fontId="19" fillId="28" borderId="145" xfId="0" applyFont="1" applyFill="1" applyBorder="1" applyAlignment="1">
      <alignment horizontal="left" vertical="center" wrapText="1" indent="1"/>
    </xf>
    <xf numFmtId="179" fontId="19" fillId="0" borderId="0" xfId="0" applyNumberFormat="1" applyFont="1" applyBorder="1" applyAlignment="1">
      <alignment horizontal="center" vertical="center"/>
    </xf>
    <xf numFmtId="0" fontId="2" fillId="2" borderId="0" xfId="0" applyFont="1" applyFill="1" applyBorder="1" applyAlignment="1">
      <alignment horizontal="center" vertical="center" wrapText="1"/>
    </xf>
    <xf numFmtId="178" fontId="19" fillId="0" borderId="0" xfId="3" applyNumberFormat="1" applyFont="1" applyBorder="1" applyAlignment="1">
      <alignment horizontal="center" vertical="center"/>
    </xf>
    <xf numFmtId="0" fontId="51" fillId="18" borderId="36" xfId="0" applyFont="1" applyFill="1" applyBorder="1" applyAlignment="1">
      <alignment horizontal="center" vertical="center" textRotation="255"/>
    </xf>
    <xf numFmtId="0" fontId="29" fillId="20" borderId="36" xfId="0" applyFont="1" applyFill="1" applyBorder="1" applyAlignment="1">
      <alignment horizontal="center" vertical="center" textRotation="255"/>
    </xf>
    <xf numFmtId="0" fontId="51" fillId="16" borderId="77" xfId="0" applyFont="1" applyFill="1" applyBorder="1" applyAlignment="1">
      <alignment horizontal="center" vertical="center" textRotation="255" shrinkToFit="1"/>
    </xf>
    <xf numFmtId="0" fontId="51" fillId="16" borderId="75" xfId="0" applyFont="1" applyFill="1" applyBorder="1" applyAlignment="1">
      <alignment horizontal="center" vertical="center" textRotation="255" shrinkToFit="1"/>
    </xf>
    <xf numFmtId="0" fontId="51" fillId="16" borderId="78" xfId="0" applyFont="1" applyFill="1" applyBorder="1" applyAlignment="1">
      <alignment horizontal="center" vertical="center" textRotation="255" shrinkToFit="1"/>
    </xf>
    <xf numFmtId="0" fontId="51" fillId="16" borderId="67" xfId="0" applyFont="1" applyFill="1" applyBorder="1" applyAlignment="1">
      <alignment horizontal="center" vertical="center" textRotation="255" shrinkToFit="1"/>
    </xf>
    <xf numFmtId="0" fontId="51" fillId="16" borderId="68" xfId="0" applyFont="1" applyFill="1" applyBorder="1" applyAlignment="1">
      <alignment horizontal="center" vertical="center" textRotation="255" shrinkToFit="1"/>
    </xf>
    <xf numFmtId="0" fontId="51" fillId="16" borderId="66" xfId="0" applyFont="1" applyFill="1" applyBorder="1" applyAlignment="1">
      <alignment horizontal="center" vertical="center" textRotation="255" shrinkToFit="1"/>
    </xf>
    <xf numFmtId="0" fontId="19" fillId="26" borderId="68" xfId="0" applyFont="1" applyFill="1" applyBorder="1" applyAlignment="1">
      <alignment horizontal="left" vertical="center" wrapText="1" indent="1"/>
    </xf>
    <xf numFmtId="0" fontId="19" fillId="26" borderId="65" xfId="0" applyFont="1" applyFill="1" applyBorder="1" applyAlignment="1">
      <alignment horizontal="left" vertical="center" wrapText="1" indent="1"/>
    </xf>
    <xf numFmtId="0" fontId="19" fillId="28" borderId="38" xfId="0" applyFont="1" applyFill="1" applyBorder="1" applyAlignment="1">
      <alignment horizontal="left" vertical="center" wrapText="1"/>
    </xf>
    <xf numFmtId="0" fontId="19" fillId="27" borderId="38" xfId="0" applyFont="1" applyFill="1" applyBorder="1" applyAlignment="1">
      <alignment horizontal="left" vertical="center" wrapText="1"/>
    </xf>
    <xf numFmtId="0" fontId="83" fillId="27" borderId="38" xfId="0" applyFont="1" applyFill="1" applyBorder="1" applyAlignment="1">
      <alignment horizontal="left" vertical="center" wrapText="1"/>
    </xf>
    <xf numFmtId="0" fontId="29" fillId="12" borderId="36" xfId="0" applyFont="1" applyFill="1" applyBorder="1" applyAlignment="1">
      <alignment horizontal="center" vertical="center" textRotation="255"/>
    </xf>
    <xf numFmtId="0" fontId="19" fillId="27" borderId="144" xfId="0" applyFont="1" applyFill="1" applyBorder="1" applyAlignment="1">
      <alignment horizontal="left" vertical="center" wrapText="1" indent="1"/>
    </xf>
    <xf numFmtId="0" fontId="19" fillId="27" borderId="145" xfId="0" applyFont="1" applyFill="1" applyBorder="1" applyAlignment="1">
      <alignment horizontal="left" vertical="center" wrapText="1" indent="1"/>
    </xf>
    <xf numFmtId="0" fontId="19" fillId="27" borderId="142" xfId="0" applyFont="1" applyFill="1" applyBorder="1" applyAlignment="1">
      <alignment horizontal="left" vertical="center" wrapText="1" indent="1"/>
    </xf>
    <xf numFmtId="0" fontId="19" fillId="27" borderId="143" xfId="0" applyFont="1" applyFill="1" applyBorder="1" applyAlignment="1">
      <alignment horizontal="left" vertical="center" wrapText="1" indent="1"/>
    </xf>
    <xf numFmtId="0" fontId="19" fillId="27" borderId="68" xfId="0" applyFont="1" applyFill="1" applyBorder="1" applyAlignment="1">
      <alignment horizontal="left" vertical="center" wrapText="1" indent="1"/>
    </xf>
    <xf numFmtId="0" fontId="19" fillId="27" borderId="65" xfId="0" applyFont="1" applyFill="1" applyBorder="1" applyAlignment="1">
      <alignment horizontal="left" vertical="center" wrapText="1" indent="1"/>
    </xf>
    <xf numFmtId="0" fontId="19" fillId="28" borderId="52" xfId="0" applyFont="1" applyFill="1" applyBorder="1" applyAlignment="1">
      <alignment horizontal="left" vertical="center" wrapText="1"/>
    </xf>
    <xf numFmtId="0" fontId="29" fillId="19" borderId="36" xfId="0" applyFont="1" applyFill="1" applyBorder="1" applyAlignment="1">
      <alignment horizontal="center" vertical="center" textRotation="255"/>
    </xf>
    <xf numFmtId="0" fontId="19" fillId="26" borderId="38" xfId="0" applyFont="1" applyFill="1" applyBorder="1" applyAlignment="1">
      <alignment horizontal="left" vertical="center" wrapText="1"/>
    </xf>
    <xf numFmtId="0" fontId="83" fillId="28" borderId="68" xfId="0" applyFont="1" applyFill="1" applyBorder="1" applyAlignment="1">
      <alignment horizontal="left" vertical="center" wrapText="1" indent="1"/>
    </xf>
    <xf numFmtId="0" fontId="83" fillId="28" borderId="65" xfId="0" applyFont="1" applyFill="1" applyBorder="1" applyAlignment="1">
      <alignment horizontal="left" vertical="center" wrapText="1" indent="1"/>
    </xf>
    <xf numFmtId="0" fontId="19" fillId="27" borderId="42" xfId="0" applyFont="1" applyFill="1" applyBorder="1" applyAlignment="1">
      <alignment horizontal="left" vertical="center" wrapText="1"/>
    </xf>
    <xf numFmtId="0" fontId="19" fillId="28" borderId="142" xfId="0" applyFont="1" applyFill="1" applyBorder="1" applyAlignment="1">
      <alignment horizontal="left" vertical="center" wrapText="1" indent="1"/>
    </xf>
    <xf numFmtId="0" fontId="19" fillId="28" borderId="143" xfId="0" applyFont="1" applyFill="1" applyBorder="1" applyAlignment="1">
      <alignment horizontal="left" vertical="center" wrapText="1" indent="1"/>
    </xf>
    <xf numFmtId="0" fontId="19" fillId="30" borderId="68" xfId="0" applyFont="1" applyFill="1" applyBorder="1" applyAlignment="1">
      <alignment horizontal="left" vertical="center" wrapText="1" indent="1"/>
    </xf>
    <xf numFmtId="0" fontId="19" fillId="30" borderId="65" xfId="0" applyFont="1" applyFill="1" applyBorder="1" applyAlignment="1">
      <alignment horizontal="left" vertical="center" wrapText="1" indent="1"/>
    </xf>
    <xf numFmtId="0" fontId="19" fillId="30" borderId="142" xfId="0" applyFont="1" applyFill="1" applyBorder="1" applyAlignment="1">
      <alignment horizontal="left" vertical="center" wrapText="1" indent="1"/>
    </xf>
    <xf numFmtId="0" fontId="19" fillId="30" borderId="143" xfId="0" applyFont="1" applyFill="1" applyBorder="1" applyAlignment="1">
      <alignment horizontal="left" vertical="center" wrapText="1" indent="1"/>
    </xf>
    <xf numFmtId="0" fontId="19" fillId="30" borderId="144" xfId="0" applyFont="1" applyFill="1" applyBorder="1" applyAlignment="1">
      <alignment horizontal="left" vertical="center" wrapText="1" indent="1"/>
    </xf>
    <xf numFmtId="0" fontId="19" fillId="30" borderId="145" xfId="0" applyFont="1" applyFill="1" applyBorder="1" applyAlignment="1">
      <alignment horizontal="left" vertical="center" wrapText="1" indent="1"/>
    </xf>
    <xf numFmtId="0" fontId="60" fillId="17" borderId="0" xfId="0" applyFont="1" applyFill="1" applyBorder="1" applyAlignment="1">
      <alignment horizontal="left" vertical="top" wrapText="1"/>
    </xf>
    <xf numFmtId="0" fontId="19" fillId="41" borderId="140" xfId="0" applyFont="1" applyFill="1" applyBorder="1" applyAlignment="1">
      <alignment horizontal="left" vertical="center" wrapText="1" indent="1"/>
    </xf>
    <xf numFmtId="0" fontId="19" fillId="41" borderId="52" xfId="0" applyFont="1" applyFill="1" applyBorder="1" applyAlignment="1">
      <alignment horizontal="left" vertical="center" wrapText="1" indent="1"/>
    </xf>
    <xf numFmtId="0" fontId="66" fillId="24" borderId="77" xfId="0" applyFont="1" applyFill="1" applyBorder="1" applyAlignment="1">
      <alignment horizontal="center" vertical="center"/>
    </xf>
    <xf numFmtId="0" fontId="66" fillId="24" borderId="76" xfId="0" applyFont="1" applyFill="1" applyBorder="1" applyAlignment="1">
      <alignment horizontal="center" vertical="center"/>
    </xf>
    <xf numFmtId="0" fontId="66" fillId="24" borderId="75" xfId="0" applyFont="1" applyFill="1" applyBorder="1" applyAlignment="1">
      <alignment horizontal="center" vertical="center"/>
    </xf>
    <xf numFmtId="0" fontId="66" fillId="24" borderId="68" xfId="0" applyFont="1" applyFill="1" applyBorder="1" applyAlignment="1">
      <alignment horizontal="center" vertical="center"/>
    </xf>
    <xf numFmtId="0" fontId="66" fillId="24" borderId="65" xfId="0" applyFont="1" applyFill="1" applyBorder="1" applyAlignment="1">
      <alignment horizontal="center" vertical="center"/>
    </xf>
    <xf numFmtId="0" fontId="66" fillId="24" borderId="66" xfId="0" applyFont="1" applyFill="1" applyBorder="1" applyAlignment="1">
      <alignment horizontal="center" vertical="center"/>
    </xf>
    <xf numFmtId="0" fontId="19" fillId="41" borderId="52" xfId="0" applyFont="1" applyFill="1" applyBorder="1" applyAlignment="1">
      <alignment horizontal="left" vertical="center" wrapText="1"/>
    </xf>
    <xf numFmtId="0" fontId="20" fillId="42" borderId="133" xfId="0" applyFont="1" applyFill="1" applyBorder="1" applyAlignment="1">
      <alignment horizontal="center" vertical="center" shrinkToFit="1"/>
    </xf>
    <xf numFmtId="0" fontId="20" fillId="42" borderId="120" xfId="0" applyFont="1" applyFill="1" applyBorder="1" applyAlignment="1">
      <alignment horizontal="center" vertical="center" shrinkToFit="1"/>
    </xf>
    <xf numFmtId="0" fontId="20" fillId="42" borderId="134" xfId="0" applyFont="1" applyFill="1" applyBorder="1" applyAlignment="1">
      <alignment horizontal="center" vertical="center" shrinkToFit="1"/>
    </xf>
    <xf numFmtId="0" fontId="19" fillId="30" borderId="42" xfId="0" applyFont="1" applyFill="1" applyBorder="1" applyAlignment="1">
      <alignment horizontal="left" vertical="center" wrapText="1"/>
    </xf>
    <xf numFmtId="0" fontId="19" fillId="29" borderId="42" xfId="0" applyFont="1" applyFill="1" applyBorder="1" applyAlignment="1">
      <alignment horizontal="left" vertical="center" wrapText="1"/>
    </xf>
    <xf numFmtId="0" fontId="19" fillId="30" borderId="52" xfId="0" applyFont="1" applyFill="1" applyBorder="1" applyAlignment="1">
      <alignment horizontal="left" vertical="center" wrapText="1"/>
    </xf>
    <xf numFmtId="0" fontId="19" fillId="27" borderId="52" xfId="0" applyFont="1" applyFill="1" applyBorder="1" applyAlignment="1">
      <alignment horizontal="left" vertical="center" wrapText="1"/>
    </xf>
    <xf numFmtId="0" fontId="19" fillId="26" borderId="42" xfId="0" applyFont="1" applyFill="1" applyBorder="1" applyAlignment="1">
      <alignment horizontal="left" vertical="center" wrapText="1"/>
    </xf>
    <xf numFmtId="0" fontId="67" fillId="23" borderId="0" xfId="0" applyFont="1" applyFill="1" applyBorder="1" applyAlignment="1">
      <alignment horizontal="center" vertical="center"/>
    </xf>
    <xf numFmtId="0" fontId="83" fillId="26" borderId="38" xfId="0" applyFont="1" applyFill="1" applyBorder="1" applyAlignment="1">
      <alignment horizontal="left" vertical="center" wrapText="1"/>
    </xf>
    <xf numFmtId="0" fontId="60" fillId="22" borderId="95" xfId="0" applyFont="1" applyFill="1" applyBorder="1" applyAlignment="1">
      <alignment horizontal="center" vertical="center" shrinkToFit="1"/>
    </xf>
    <xf numFmtId="0" fontId="60" fillId="22" borderId="88" xfId="0" applyFont="1" applyFill="1" applyBorder="1" applyAlignment="1">
      <alignment horizontal="center" vertical="center" shrinkToFit="1"/>
    </xf>
    <xf numFmtId="0" fontId="60" fillId="22" borderId="136" xfId="0" applyFont="1" applyFill="1" applyBorder="1" applyAlignment="1">
      <alignment horizontal="distributed" vertical="center" indent="1" shrinkToFit="1"/>
    </xf>
    <xf numFmtId="0" fontId="60" fillId="22" borderId="137" xfId="0" applyFont="1" applyFill="1" applyBorder="1" applyAlignment="1">
      <alignment horizontal="distributed" vertical="center" indent="1" shrinkToFit="1"/>
    </xf>
    <xf numFmtId="0" fontId="45" fillId="0" borderId="38" xfId="0" applyFont="1" applyBorder="1" applyAlignment="1">
      <alignment horizontal="left" vertical="center" indent="1" shrinkToFit="1"/>
    </xf>
    <xf numFmtId="0" fontId="45" fillId="0" borderId="105" xfId="0" applyFont="1" applyBorder="1" applyAlignment="1">
      <alignment horizontal="left" vertical="center" indent="1" shrinkToFit="1"/>
    </xf>
    <xf numFmtId="185" fontId="20" fillId="0" borderId="38" xfId="4" applyNumberFormat="1" applyFont="1" applyFill="1" applyBorder="1" applyAlignment="1">
      <alignment horizontal="left" vertical="center" indent="1"/>
    </xf>
    <xf numFmtId="185" fontId="20" fillId="0" borderId="105" xfId="4" applyNumberFormat="1" applyFont="1" applyFill="1" applyBorder="1" applyAlignment="1">
      <alignment horizontal="left" vertical="center" indent="1"/>
    </xf>
    <xf numFmtId="0" fontId="20" fillId="0" borderId="38" xfId="0" applyFont="1" applyBorder="1" applyAlignment="1">
      <alignment horizontal="left" vertical="center" indent="1"/>
    </xf>
    <xf numFmtId="0" fontId="20" fillId="0" borderId="105" xfId="0" applyFont="1" applyBorder="1" applyAlignment="1">
      <alignment horizontal="left" vertical="center" indent="1"/>
    </xf>
    <xf numFmtId="0" fontId="20" fillId="0" borderId="104" xfId="0" applyFont="1" applyBorder="1" applyAlignment="1">
      <alignment horizontal="left" vertical="center" indent="1"/>
    </xf>
    <xf numFmtId="0" fontId="19" fillId="31" borderId="0" xfId="0" applyFont="1" applyFill="1" applyBorder="1" applyAlignment="1">
      <alignment horizontal="center" vertical="center"/>
    </xf>
    <xf numFmtId="0" fontId="76" fillId="31" borderId="0" xfId="4" applyNumberFormat="1" applyFont="1" applyFill="1" applyBorder="1" applyAlignment="1">
      <alignment horizontal="center" vertical="center" shrinkToFit="1"/>
    </xf>
    <xf numFmtId="0" fontId="19" fillId="0" borderId="0" xfId="0" applyFont="1" applyBorder="1" applyAlignment="1">
      <alignment horizontal="center" vertical="center" shrinkToFit="1"/>
    </xf>
    <xf numFmtId="184" fontId="54" fillId="0" borderId="22" xfId="4" applyNumberFormat="1" applyFont="1" applyBorder="1" applyAlignment="1">
      <alignment horizontal="center" vertical="center" shrinkToFit="1"/>
    </xf>
    <xf numFmtId="184" fontId="54" fillId="0" borderId="23" xfId="4" applyNumberFormat="1" applyFont="1" applyBorder="1" applyAlignment="1">
      <alignment horizontal="center" vertical="center" shrinkToFit="1"/>
    </xf>
    <xf numFmtId="184" fontId="54" fillId="0" borderId="24" xfId="4" applyNumberFormat="1" applyFont="1" applyBorder="1" applyAlignment="1">
      <alignment horizontal="center" vertical="center" shrinkToFit="1"/>
    </xf>
    <xf numFmtId="184" fontId="54" fillId="0" borderId="8" xfId="4" applyNumberFormat="1" applyFont="1" applyBorder="1" applyAlignment="1">
      <alignment horizontal="center" vertical="center" shrinkToFit="1"/>
    </xf>
    <xf numFmtId="184" fontId="54" fillId="0" borderId="26" xfId="4" applyNumberFormat="1" applyFont="1" applyBorder="1" applyAlignment="1">
      <alignment horizontal="center" vertical="center" shrinkToFit="1"/>
    </xf>
    <xf numFmtId="184" fontId="54" fillId="0" borderId="9" xfId="4" applyNumberFormat="1" applyFont="1" applyBorder="1" applyAlignment="1">
      <alignment horizontal="center" vertical="center" shrinkToFit="1"/>
    </xf>
    <xf numFmtId="0" fontId="27" fillId="0" borderId="60" xfId="0" applyFont="1" applyBorder="1" applyAlignment="1">
      <alignment horizontal="center" vertical="center"/>
    </xf>
    <xf numFmtId="0" fontId="27" fillId="0" borderId="0"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51" fillId="0" borderId="6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25" xfId="0" applyFont="1" applyBorder="1" applyAlignment="1">
      <alignment horizontal="center" vertical="center" wrapText="1"/>
    </xf>
    <xf numFmtId="0" fontId="27" fillId="0" borderId="55" xfId="0" applyFont="1" applyBorder="1" applyAlignment="1">
      <alignment horizontal="left" vertical="center" shrinkToFit="1"/>
    </xf>
    <xf numFmtId="0" fontId="27" fillId="0" borderId="56" xfId="0" applyFont="1" applyBorder="1" applyAlignment="1">
      <alignment horizontal="left" vertical="center" shrinkToFit="1"/>
    </xf>
    <xf numFmtId="0" fontId="28" fillId="0" borderId="58" xfId="0" applyFont="1" applyBorder="1" applyAlignment="1">
      <alignment horizontal="left" vertical="center"/>
    </xf>
    <xf numFmtId="0" fontId="28" fillId="0" borderId="59" xfId="0" applyFont="1" applyBorder="1" applyAlignment="1">
      <alignment horizontal="left" vertical="center"/>
    </xf>
    <xf numFmtId="0" fontId="28" fillId="0" borderId="0" xfId="0" applyFont="1" applyBorder="1" applyAlignment="1">
      <alignment horizontal="center" vertical="center"/>
    </xf>
    <xf numFmtId="0" fontId="48" fillId="0" borderId="54" xfId="0" applyFont="1" applyBorder="1" applyAlignment="1">
      <alignment horizontal="left" vertical="center" wrapText="1" indent="1"/>
    </xf>
    <xf numFmtId="0" fontId="48" fillId="0" borderId="55" xfId="0" applyFont="1" applyBorder="1" applyAlignment="1">
      <alignment horizontal="left" vertical="center" wrapText="1" indent="1"/>
    </xf>
    <xf numFmtId="0" fontId="27" fillId="0" borderId="63" xfId="0" applyFont="1" applyBorder="1" applyAlignment="1">
      <alignment horizontal="center" vertical="center"/>
    </xf>
    <xf numFmtId="183" fontId="71" fillId="0" borderId="55" xfId="4" applyNumberFormat="1" applyFont="1" applyBorder="1" applyAlignment="1">
      <alignment horizontal="right" vertical="center" shrinkToFit="1"/>
    </xf>
    <xf numFmtId="184" fontId="49" fillId="0" borderId="22" xfId="4" applyNumberFormat="1" applyFont="1" applyBorder="1" applyAlignment="1">
      <alignment horizontal="center" vertical="center" shrinkToFit="1"/>
    </xf>
    <xf numFmtId="184" fontId="49" fillId="0" borderId="23" xfId="4" applyNumberFormat="1" applyFont="1" applyBorder="1" applyAlignment="1">
      <alignment horizontal="center" vertical="center" shrinkToFit="1"/>
    </xf>
    <xf numFmtId="184" fontId="49" fillId="0" borderId="24" xfId="4" applyNumberFormat="1" applyFont="1" applyBorder="1" applyAlignment="1">
      <alignment horizontal="center" vertical="center" shrinkToFit="1"/>
    </xf>
    <xf numFmtId="184" fontId="49" fillId="0" borderId="8" xfId="4" applyNumberFormat="1" applyFont="1" applyBorder="1" applyAlignment="1">
      <alignment horizontal="center" vertical="center" shrinkToFit="1"/>
    </xf>
    <xf numFmtId="184" fontId="49" fillId="0" borderId="26" xfId="4" applyNumberFormat="1" applyFont="1" applyBorder="1" applyAlignment="1">
      <alignment horizontal="center" vertical="center" shrinkToFit="1"/>
    </xf>
    <xf numFmtId="184" fontId="49" fillId="0" borderId="9" xfId="4" applyNumberFormat="1" applyFont="1" applyBorder="1" applyAlignment="1">
      <alignment horizontal="center" vertical="center" shrinkToFit="1"/>
    </xf>
    <xf numFmtId="0" fontId="27" fillId="0" borderId="6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0" xfId="0" applyFont="1" applyBorder="1" applyAlignment="1">
      <alignment horizontal="left" vertical="center" shrinkToFit="1"/>
    </xf>
    <xf numFmtId="0" fontId="27" fillId="0" borderId="61" xfId="0" applyFont="1" applyBorder="1" applyAlignment="1">
      <alignment horizontal="left" vertical="center" shrinkToFit="1"/>
    </xf>
    <xf numFmtId="183" fontId="73" fillId="0" borderId="22" xfId="4" applyNumberFormat="1" applyFont="1" applyBorder="1" applyAlignment="1">
      <alignment horizontal="center" vertical="center" shrinkToFit="1"/>
    </xf>
    <xf numFmtId="183" fontId="73" fillId="0" borderId="23" xfId="4" applyNumberFormat="1" applyFont="1" applyBorder="1" applyAlignment="1">
      <alignment horizontal="center" vertical="center" shrinkToFit="1"/>
    </xf>
    <xf numFmtId="183" fontId="73" fillId="0" borderId="24" xfId="4" applyNumberFormat="1" applyFont="1" applyBorder="1" applyAlignment="1">
      <alignment horizontal="center" vertical="center" shrinkToFit="1"/>
    </xf>
    <xf numFmtId="183" fontId="73" fillId="0" borderId="82" xfId="4" applyNumberFormat="1" applyFont="1" applyBorder="1" applyAlignment="1">
      <alignment horizontal="center" vertical="center" shrinkToFit="1"/>
    </xf>
    <xf numFmtId="183" fontId="73" fillId="0" borderId="0" xfId="4" applyNumberFormat="1" applyFont="1" applyBorder="1" applyAlignment="1">
      <alignment horizontal="center" vertical="center" shrinkToFit="1"/>
    </xf>
    <xf numFmtId="183" fontId="73" fillId="0" borderId="25" xfId="4" applyNumberFormat="1" applyFont="1" applyBorder="1" applyAlignment="1">
      <alignment horizontal="center" vertical="center" shrinkToFit="1"/>
    </xf>
    <xf numFmtId="183" fontId="73" fillId="0" borderId="8" xfId="4" applyNumberFormat="1" applyFont="1" applyBorder="1" applyAlignment="1">
      <alignment horizontal="center" vertical="center" shrinkToFit="1"/>
    </xf>
    <xf numFmtId="183" fontId="73" fillId="0" borderId="26" xfId="4" applyNumberFormat="1" applyFont="1" applyBorder="1" applyAlignment="1">
      <alignment horizontal="center" vertical="center" shrinkToFit="1"/>
    </xf>
    <xf numFmtId="183" fontId="73" fillId="0" borderId="9" xfId="4" applyNumberFormat="1" applyFont="1" applyBorder="1" applyAlignment="1">
      <alignment horizontal="center" vertical="center" shrinkToFit="1"/>
    </xf>
    <xf numFmtId="0" fontId="28" fillId="0" borderId="26" xfId="0" applyFont="1" applyBorder="1" applyAlignment="1">
      <alignment horizontal="center" vertical="center" shrinkToFit="1"/>
    </xf>
    <xf numFmtId="183" fontId="49" fillId="0" borderId="22" xfId="4" applyNumberFormat="1" applyFont="1" applyBorder="1" applyAlignment="1">
      <alignment horizontal="center" vertical="center" shrinkToFit="1"/>
    </xf>
    <xf numFmtId="183" fontId="49" fillId="0" borderId="23" xfId="4" applyNumberFormat="1" applyFont="1" applyBorder="1" applyAlignment="1">
      <alignment horizontal="center" vertical="center" shrinkToFit="1"/>
    </xf>
    <xf numFmtId="183" fontId="49" fillId="0" borderId="24" xfId="4" applyNumberFormat="1" applyFont="1" applyBorder="1" applyAlignment="1">
      <alignment horizontal="center" vertical="center" shrinkToFit="1"/>
    </xf>
    <xf numFmtId="183" fontId="49" fillId="0" borderId="82" xfId="4" applyNumberFormat="1" applyFont="1" applyBorder="1" applyAlignment="1">
      <alignment horizontal="center" vertical="center" shrinkToFit="1"/>
    </xf>
    <xf numFmtId="183" fontId="49" fillId="0" borderId="0" xfId="4" applyNumberFormat="1" applyFont="1" applyBorder="1" applyAlignment="1">
      <alignment horizontal="center" vertical="center" shrinkToFit="1"/>
    </xf>
    <xf numFmtId="183" fontId="49" fillId="0" borderId="25" xfId="4" applyNumberFormat="1" applyFont="1" applyBorder="1" applyAlignment="1">
      <alignment horizontal="center" vertical="center" shrinkToFit="1"/>
    </xf>
    <xf numFmtId="183" fontId="49" fillId="0" borderId="8" xfId="4" applyNumberFormat="1" applyFont="1" applyBorder="1" applyAlignment="1">
      <alignment horizontal="center" vertical="center" shrinkToFit="1"/>
    </xf>
    <xf numFmtId="183" fontId="49" fillId="0" borderId="26" xfId="4" applyNumberFormat="1" applyFont="1" applyBorder="1" applyAlignment="1">
      <alignment horizontal="center" vertical="center" shrinkToFit="1"/>
    </xf>
    <xf numFmtId="183" fontId="49" fillId="0" borderId="9" xfId="4" applyNumberFormat="1" applyFont="1" applyBorder="1" applyAlignment="1">
      <alignment horizontal="center" vertical="center" shrinkToFit="1"/>
    </xf>
    <xf numFmtId="0" fontId="30" fillId="0" borderId="0" xfId="0" applyFont="1" applyBorder="1" applyAlignment="1">
      <alignment horizontal="center" vertical="center"/>
    </xf>
    <xf numFmtId="0" fontId="30" fillId="0" borderId="82" xfId="0" applyFont="1" applyBorder="1" applyAlignment="1">
      <alignment horizontal="center" vertical="center"/>
    </xf>
    <xf numFmtId="0" fontId="30" fillId="0" borderId="25" xfId="0" applyFont="1" applyBorder="1" applyAlignment="1">
      <alignment horizontal="center" vertical="center"/>
    </xf>
    <xf numFmtId="0" fontId="0" fillId="0" borderId="1" xfId="0" applyBorder="1" applyAlignment="1">
      <alignment horizontal="center" vertical="center" shrinkToFit="1"/>
    </xf>
    <xf numFmtId="38" fontId="0" fillId="0" borderId="1" xfId="4" applyFont="1" applyBorder="1" applyAlignment="1">
      <alignment horizontal="right" vertical="center"/>
    </xf>
    <xf numFmtId="0" fontId="0" fillId="0" borderId="5" xfId="0" applyBorder="1" applyAlignment="1">
      <alignment horizontal="center" vertical="center"/>
    </xf>
    <xf numFmtId="0" fontId="0" fillId="0" borderId="10" xfId="0"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50" fillId="0" borderId="0" xfId="0" applyFont="1" applyAlignment="1">
      <alignment horizontal="left" vertical="top" wrapText="1"/>
    </xf>
    <xf numFmtId="0" fontId="50" fillId="0" borderId="0" xfId="0" applyFont="1" applyFill="1" applyBorder="1" applyAlignment="1">
      <alignment horizontal="left" vertical="top" wrapText="1"/>
    </xf>
    <xf numFmtId="9" fontId="50" fillId="0" borderId="0" xfId="3" applyFont="1" applyFill="1" applyBorder="1" applyAlignment="1">
      <alignment horizontal="left" vertical="top" wrapText="1"/>
    </xf>
    <xf numFmtId="0" fontId="0" fillId="0" borderId="1" xfId="0" applyBorder="1" applyAlignment="1">
      <alignment horizontal="center" vertical="center"/>
    </xf>
    <xf numFmtId="0" fontId="38" fillId="0" borderId="0" xfId="5" applyFont="1" applyFill="1" applyBorder="1" applyAlignment="1">
      <alignment horizontal="left" vertical="center" wrapText="1"/>
    </xf>
    <xf numFmtId="0" fontId="38" fillId="0" borderId="1" xfId="5" applyFont="1" applyBorder="1" applyAlignment="1">
      <alignment horizontal="center" vertical="center" wrapText="1"/>
    </xf>
    <xf numFmtId="0" fontId="35" fillId="0" borderId="0" xfId="5" applyFont="1" applyFill="1" applyBorder="1" applyAlignment="1">
      <alignment horizontal="left" vertical="top" wrapText="1"/>
    </xf>
    <xf numFmtId="0" fontId="35" fillId="0" borderId="5" xfId="5" applyFont="1" applyBorder="1" applyAlignment="1">
      <alignment horizontal="left" wrapText="1"/>
    </xf>
    <xf numFmtId="0" fontId="35" fillId="0" borderId="27" xfId="5" applyFont="1" applyBorder="1" applyAlignment="1">
      <alignment horizontal="left" wrapText="1"/>
    </xf>
    <xf numFmtId="0" fontId="35" fillId="0" borderId="10" xfId="5" applyFont="1" applyBorder="1" applyAlignment="1">
      <alignment horizontal="left" wrapText="1"/>
    </xf>
    <xf numFmtId="0" fontId="20" fillId="0" borderId="23" xfId="5" applyFont="1" applyBorder="1" applyAlignment="1">
      <alignment horizontal="center" vertical="top" wrapText="1"/>
    </xf>
    <xf numFmtId="0" fontId="20" fillId="0" borderId="26" xfId="5" applyFont="1" applyBorder="1" applyAlignment="1">
      <alignment horizontal="center"/>
    </xf>
    <xf numFmtId="0" fontId="20" fillId="0" borderId="0" xfId="5" applyFont="1" applyAlignment="1">
      <alignment horizontal="center" vertical="center"/>
    </xf>
    <xf numFmtId="0" fontId="20" fillId="0" borderId="0" xfId="5" applyFont="1" applyBorder="1" applyAlignment="1">
      <alignment horizontal="center" vertical="center" wrapText="1"/>
    </xf>
    <xf numFmtId="0" fontId="20" fillId="0" borderId="23" xfId="5" applyFont="1" applyBorder="1" applyAlignment="1">
      <alignment horizontal="center" vertical="center" wrapText="1"/>
    </xf>
    <xf numFmtId="0" fontId="38" fillId="0" borderId="18" xfId="5" applyFont="1" applyBorder="1" applyAlignment="1">
      <alignment horizontal="center" vertical="center" wrapText="1"/>
    </xf>
    <xf numFmtId="0" fontId="38" fillId="0" borderId="28" xfId="5" applyFont="1" applyBorder="1" applyAlignment="1">
      <alignment horizontal="center" vertical="center" wrapText="1"/>
    </xf>
    <xf numFmtId="0" fontId="38" fillId="0" borderId="20" xfId="5" applyFont="1" applyBorder="1" applyAlignment="1">
      <alignment horizontal="center" vertical="center" wrapText="1"/>
    </xf>
    <xf numFmtId="0" fontId="59" fillId="0" borderId="18" xfId="5" applyFont="1" applyBorder="1" applyAlignment="1">
      <alignment horizontal="center" vertical="center" wrapText="1"/>
    </xf>
    <xf numFmtId="0" fontId="59" fillId="0" borderId="28" xfId="5" applyFont="1" applyBorder="1" applyAlignment="1">
      <alignment horizontal="center" vertical="center" wrapText="1"/>
    </xf>
    <xf numFmtId="0" fontId="59" fillId="0" borderId="20" xfId="5" applyFont="1" applyBorder="1" applyAlignment="1">
      <alignment horizontal="center" vertical="center" wrapText="1"/>
    </xf>
    <xf numFmtId="0" fontId="35" fillId="0" borderId="26" xfId="1" applyFont="1" applyFill="1" applyBorder="1" applyAlignment="1">
      <alignment horizontal="left" vertical="center" wrapText="1"/>
    </xf>
    <xf numFmtId="0" fontId="19" fillId="0" borderId="0" xfId="5" applyFont="1" applyAlignment="1">
      <alignment horizontal="center" vertical="center"/>
    </xf>
    <xf numFmtId="0" fontId="35" fillId="11" borderId="1" xfId="5" applyFont="1" applyFill="1" applyBorder="1" applyAlignment="1">
      <alignment horizontal="center"/>
    </xf>
    <xf numFmtId="0" fontId="42" fillId="0" borderId="23" xfId="5" applyFont="1" applyBorder="1" applyAlignment="1">
      <alignment horizontal="left" vertical="top" wrapText="1"/>
    </xf>
    <xf numFmtId="0" fontId="34" fillId="0" borderId="5" xfId="1" applyFont="1" applyFill="1" applyBorder="1" applyAlignment="1">
      <alignment horizontal="center" vertical="center"/>
    </xf>
    <xf numFmtId="0" fontId="34" fillId="0" borderId="27" xfId="1" applyFont="1" applyFill="1" applyBorder="1" applyAlignment="1">
      <alignment horizontal="center" vertical="center"/>
    </xf>
    <xf numFmtId="0" fontId="34" fillId="0" borderId="10" xfId="1" applyFont="1" applyFill="1" applyBorder="1" applyAlignment="1">
      <alignment horizontal="center" vertical="center"/>
    </xf>
    <xf numFmtId="0" fontId="0" fillId="0" borderId="1" xfId="0" applyBorder="1" applyAlignment="1">
      <alignment horizontal="center" vertical="center" wrapText="1"/>
    </xf>
    <xf numFmtId="0" fontId="0" fillId="10" borderId="1" xfId="0"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8" xfId="0" applyFont="1" applyBorder="1" applyAlignment="1">
      <alignment horizontal="center" vertical="center" wrapText="1"/>
    </xf>
    <xf numFmtId="0" fontId="11" fillId="0" borderId="9" xfId="0" applyFont="1" applyBorder="1" applyAlignment="1">
      <alignment horizontal="center" vertical="center" wrapText="1"/>
    </xf>
  </cellXfs>
  <cellStyles count="7">
    <cellStyle name="パーセント" xfId="3" builtinId="5"/>
    <cellStyle name="桁区切り" xfId="4" builtinId="6"/>
    <cellStyle name="桁区切り 2" xfId="6"/>
    <cellStyle name="標準" xfId="0" builtinId="0"/>
    <cellStyle name="標準 2" xfId="5"/>
    <cellStyle name="標準 2 2" xfId="1"/>
    <cellStyle name="標準 3 2" xfId="2"/>
  </cellStyles>
  <dxfs count="70">
    <dxf>
      <font>
        <b/>
        <i val="0"/>
      </font>
      <fill>
        <patternFill>
          <bgColor rgb="FFFFFF00"/>
        </patternFill>
      </fill>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gradientFill degree="90">
          <stop position="0">
            <color rgb="FF00B0F0"/>
          </stop>
          <stop position="1">
            <color rgb="FF66CCFF"/>
          </stop>
        </gradientFill>
      </fill>
    </dxf>
    <dxf>
      <fill>
        <gradientFill degree="90">
          <stop position="0">
            <color rgb="FFFF9900"/>
          </stop>
          <stop position="1">
            <color theme="5" tint="0.40000610370189521"/>
          </stop>
        </gradientFill>
      </fill>
    </dxf>
    <dxf>
      <fill>
        <gradientFill degree="90">
          <stop position="0">
            <color rgb="FF00B0F0"/>
          </stop>
          <stop position="1">
            <color rgb="FF66CCFF"/>
          </stop>
        </gradientFill>
      </fill>
    </dxf>
    <dxf>
      <fill>
        <gradientFill degree="90">
          <stop position="0">
            <color rgb="FFFF0000"/>
          </stop>
          <stop position="1">
            <color rgb="FFFF7C80"/>
          </stop>
        </gradientFill>
      </fill>
    </dxf>
    <dxf>
      <fill>
        <gradientFill degree="90">
          <stop position="0">
            <color rgb="FFFF9900"/>
          </stop>
          <stop position="1">
            <color theme="5" tint="0.40000610370189521"/>
          </stop>
        </gradientFill>
      </fill>
    </dxf>
    <dxf>
      <fill>
        <gradientFill degree="90">
          <stop position="0">
            <color rgb="FF00B0F0"/>
          </stop>
          <stop position="1">
            <color rgb="FF66CCFF"/>
          </stop>
        </gradientFill>
      </fill>
    </dxf>
    <dxf>
      <fill>
        <gradientFill degree="90">
          <stop position="0">
            <color rgb="FFFF0000"/>
          </stop>
          <stop position="1">
            <color rgb="FFFF7C80"/>
          </stop>
        </gradientFill>
      </fill>
    </dxf>
    <dxf>
      <fill>
        <patternFill>
          <bgColor rgb="FFFF0000"/>
        </patternFill>
      </fill>
    </dxf>
    <dxf>
      <fill>
        <patternFill>
          <bgColor rgb="FFFF0000"/>
        </patternFill>
      </fill>
    </dxf>
    <dxf>
      <font>
        <b/>
        <i val="0"/>
      </font>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fill>
        <patternFill>
          <bgColor theme="0" tint="-0.499984740745262"/>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ont>
        <color rgb="FFFF0000"/>
      </font>
    </dxf>
  </dxfs>
  <tableStyles count="0" defaultTableStyle="TableStyleMedium2" defaultPivotStyle="PivotStyleLight16"/>
  <colors>
    <mruColors>
      <color rgb="FF66CCFF"/>
      <color rgb="FFFF9900"/>
      <color rgb="FF3366FF"/>
      <color rgb="FFFF0000"/>
      <color rgb="FF3399FF"/>
      <color rgb="FF0066CC"/>
      <color rgb="FF3333FF"/>
      <color rgb="FF0000FF"/>
      <color rgb="FF0033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31566045878601"/>
          <c:y val="0.27216764886805905"/>
          <c:w val="0.50402625005906943"/>
          <c:h val="0.57425198611710981"/>
        </c:manualLayout>
      </c:layout>
      <c:radarChart>
        <c:radarStyle val="filled"/>
        <c:varyColors val="0"/>
        <c:ser>
          <c:idx val="2"/>
          <c:order val="0"/>
          <c:tx>
            <c:strRef>
              <c:f>メイン!$Z$1</c:f>
              <c:strCache>
                <c:ptCount val="1"/>
                <c:pt idx="0">
                  <c:v>実施率点数換算（１０点満点）</c:v>
                </c:pt>
              </c:strCache>
            </c:strRef>
          </c:tx>
          <c:spPr>
            <a:solidFill>
              <a:srgbClr val="FFFF00">
                <a:alpha val="58000"/>
              </a:srgbClr>
            </a:solidFill>
            <a:ln w="31750">
              <a:solidFill>
                <a:srgbClr val="FFC000"/>
              </a:solidFill>
            </a:ln>
          </c:spPr>
          <c:cat>
            <c:strRef>
              <c:f>メイン!$W$2:$W$8</c:f>
              <c:strCache>
                <c:ptCount val="7"/>
                <c:pt idx="0">
                  <c:v>1.一般管理</c:v>
                </c:pt>
                <c:pt idx="1">
                  <c:v>2.空調
（共通）</c:v>
                </c:pt>
                <c:pt idx="2">
                  <c:v>3.空調
(個別･ｾﾝﾄﾗﾙ)</c:v>
                </c:pt>
                <c:pt idx="3">
                  <c:v>4.換気</c:v>
                </c:pt>
                <c:pt idx="4">
                  <c:v>5.照明</c:v>
                </c:pt>
                <c:pt idx="5">
                  <c:v>6.給排水・衛生・給湯</c:v>
                </c:pt>
                <c:pt idx="6">
                  <c:v>7.その他</c:v>
                </c:pt>
              </c:strCache>
            </c:strRef>
          </c:cat>
          <c:val>
            <c:numRef>
              <c:f>メイン!$Z$2:$Z$8</c:f>
              <c:numCache>
                <c:formatCode>0.0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D8CF-4E4A-971E-E49B04726C70}"/>
            </c:ext>
          </c:extLst>
        </c:ser>
        <c:dLbls>
          <c:showLegendKey val="0"/>
          <c:showVal val="0"/>
          <c:showCatName val="0"/>
          <c:showSerName val="0"/>
          <c:showPercent val="0"/>
          <c:showBubbleSize val="0"/>
        </c:dLbls>
        <c:axId val="33394048"/>
        <c:axId val="43126144"/>
      </c:radarChart>
      <c:catAx>
        <c:axId val="33394048"/>
        <c:scaling>
          <c:orientation val="minMax"/>
        </c:scaling>
        <c:delete val="0"/>
        <c:axPos val="b"/>
        <c:majorGridlines/>
        <c:numFmt formatCode="General" sourceLinked="0"/>
        <c:majorTickMark val="out"/>
        <c:minorTickMark val="none"/>
        <c:tickLblPos val="nextTo"/>
        <c:txPr>
          <a:bodyPr/>
          <a:lstStyle/>
          <a:p>
            <a:pPr>
              <a:defRPr sz="900" b="0">
                <a:latin typeface="Meiryo UI" panose="020B0604030504040204" pitchFamily="50" charset="-128"/>
                <a:ea typeface="Meiryo UI" panose="020B0604030504040204" pitchFamily="50" charset="-128"/>
              </a:defRPr>
            </a:pPr>
            <a:endParaRPr lang="ja-JP"/>
          </a:p>
        </c:txPr>
        <c:crossAx val="43126144"/>
        <c:crosses val="autoZero"/>
        <c:auto val="1"/>
        <c:lblAlgn val="ctr"/>
        <c:lblOffset val="100"/>
        <c:noMultiLvlLbl val="0"/>
      </c:catAx>
      <c:valAx>
        <c:axId val="43126144"/>
        <c:scaling>
          <c:orientation val="minMax"/>
          <c:max val="10"/>
          <c:min val="0"/>
        </c:scaling>
        <c:delete val="0"/>
        <c:axPos val="l"/>
        <c:majorGridlines>
          <c:spPr>
            <a:ln>
              <a:solidFill>
                <a:schemeClr val="bg1">
                  <a:lumMod val="50000"/>
                </a:schemeClr>
              </a:solidFill>
            </a:ln>
          </c:spPr>
        </c:majorGridlines>
        <c:numFmt formatCode="0.0" sourceLinked="1"/>
        <c:majorTickMark val="cross"/>
        <c:minorTickMark val="none"/>
        <c:tickLblPos val="none"/>
        <c:spPr>
          <a:noFill/>
          <a:ln>
            <a:solidFill>
              <a:schemeClr val="bg1">
                <a:lumMod val="50000"/>
              </a:schemeClr>
            </a:solidFill>
          </a:ln>
        </c:spPr>
        <c:txPr>
          <a:bodyPr/>
          <a:lstStyle/>
          <a:p>
            <a:pPr>
              <a:defRPr>
                <a:solidFill>
                  <a:schemeClr val="bg1">
                    <a:lumMod val="50000"/>
                  </a:schemeClr>
                </a:solidFill>
              </a:defRPr>
            </a:pPr>
            <a:endParaRPr lang="ja-JP"/>
          </a:p>
        </c:txPr>
        <c:crossAx val="33394048"/>
        <c:crosses val="autoZero"/>
        <c:crossBetween val="between"/>
        <c:majorUnit val="2"/>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154934</xdr:colOff>
      <xdr:row>1</xdr:row>
      <xdr:rowOff>121805</xdr:rowOff>
    </xdr:from>
    <xdr:to>
      <xdr:col>27</xdr:col>
      <xdr:colOff>57979</xdr:colOff>
      <xdr:row>4</xdr:row>
      <xdr:rowOff>113522</xdr:rowOff>
    </xdr:to>
    <xdr:sp macro="" textlink="">
      <xdr:nvSpPr>
        <xdr:cNvPr id="2" name="テキスト ボックス 1"/>
        <xdr:cNvSpPr txBox="1"/>
      </xdr:nvSpPr>
      <xdr:spPr>
        <a:xfrm>
          <a:off x="411695" y="395131"/>
          <a:ext cx="6578827" cy="81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chemeClr val="bg1"/>
              </a:solidFill>
              <a:latin typeface="HGS創英角ｺﾞｼｯｸUB" panose="020B0900000000000000" pitchFamily="50" charset="-128"/>
              <a:ea typeface="HGS創英角ｺﾞｼｯｸUB" panose="020B0900000000000000" pitchFamily="50" charset="-128"/>
            </a:rPr>
            <a:t>省エネポテンシャル</a:t>
          </a:r>
        </a:p>
      </xdr:txBody>
    </xdr:sp>
    <xdr:clientData/>
  </xdr:twoCellAnchor>
  <xdr:twoCellAnchor>
    <xdr:from>
      <xdr:col>17</xdr:col>
      <xdr:colOff>95250</xdr:colOff>
      <xdr:row>13</xdr:row>
      <xdr:rowOff>171450</xdr:rowOff>
    </xdr:from>
    <xdr:to>
      <xdr:col>18</xdr:col>
      <xdr:colOff>191062</xdr:colOff>
      <xdr:row>15</xdr:row>
      <xdr:rowOff>135031</xdr:rowOff>
    </xdr:to>
    <xdr:sp macro="" textlink="">
      <xdr:nvSpPr>
        <xdr:cNvPr id="3" name="右矢印 2"/>
        <xdr:cNvSpPr/>
      </xdr:nvSpPr>
      <xdr:spPr>
        <a:xfrm>
          <a:off x="4467225" y="3848100"/>
          <a:ext cx="352987" cy="420781"/>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16</xdr:row>
      <xdr:rowOff>104775</xdr:rowOff>
    </xdr:from>
    <xdr:to>
      <xdr:col>25</xdr:col>
      <xdr:colOff>110378</xdr:colOff>
      <xdr:row>16</xdr:row>
      <xdr:rowOff>495301</xdr:rowOff>
    </xdr:to>
    <xdr:sp macro="" textlink="">
      <xdr:nvSpPr>
        <xdr:cNvPr id="5" name="大かっこ 4"/>
        <xdr:cNvSpPr/>
      </xdr:nvSpPr>
      <xdr:spPr>
        <a:xfrm>
          <a:off x="4762500" y="4248150"/>
          <a:ext cx="1777253" cy="39052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179293</xdr:colOff>
      <xdr:row>21</xdr:row>
      <xdr:rowOff>67234</xdr:rowOff>
    </xdr:from>
    <xdr:to>
      <xdr:col>10</xdr:col>
      <xdr:colOff>123264</xdr:colOff>
      <xdr:row>22</xdr:row>
      <xdr:rowOff>224117</xdr:rowOff>
    </xdr:to>
    <xdr:sp macro="" textlink="">
      <xdr:nvSpPr>
        <xdr:cNvPr id="23" name="右矢印 22"/>
        <xdr:cNvSpPr/>
      </xdr:nvSpPr>
      <xdr:spPr>
        <a:xfrm>
          <a:off x="2241175" y="5670175"/>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57151</xdr:colOff>
      <xdr:row>19</xdr:row>
      <xdr:rowOff>138697</xdr:rowOff>
    </xdr:from>
    <xdr:to>
      <xdr:col>40</xdr:col>
      <xdr:colOff>12640</xdr:colOff>
      <xdr:row>23</xdr:row>
      <xdr:rowOff>166126</xdr:rowOff>
    </xdr:to>
    <xdr:pic>
      <xdr:nvPicPr>
        <xdr:cNvPr id="31" name="図 3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1" y="5939422"/>
          <a:ext cx="984189" cy="1132329"/>
        </a:xfrm>
        <a:prstGeom prst="rect">
          <a:avLst/>
        </a:prstGeom>
      </xdr:spPr>
    </xdr:pic>
    <xdr:clientData/>
  </xdr:twoCellAnchor>
  <xdr:twoCellAnchor editAs="oneCell">
    <xdr:from>
      <xdr:col>36</xdr:col>
      <xdr:colOff>34818</xdr:colOff>
      <xdr:row>29</xdr:row>
      <xdr:rowOff>150319</xdr:rowOff>
    </xdr:from>
    <xdr:to>
      <xdr:col>40</xdr:col>
      <xdr:colOff>120273</xdr:colOff>
      <xdr:row>33</xdr:row>
      <xdr:rowOff>177748</xdr:rowOff>
    </xdr:to>
    <xdr:pic>
      <xdr:nvPicPr>
        <xdr:cNvPr id="38" name="図 3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42104" y="7770319"/>
          <a:ext cx="1119598" cy="1116000"/>
        </a:xfrm>
        <a:prstGeom prst="rect">
          <a:avLst/>
        </a:prstGeom>
      </xdr:spPr>
    </xdr:pic>
    <xdr:clientData/>
  </xdr:twoCellAnchor>
  <xdr:twoCellAnchor editAs="oneCell">
    <xdr:from>
      <xdr:col>35</xdr:col>
      <xdr:colOff>191903</xdr:colOff>
      <xdr:row>39</xdr:row>
      <xdr:rowOff>162395</xdr:rowOff>
    </xdr:from>
    <xdr:to>
      <xdr:col>40</xdr:col>
      <xdr:colOff>127854</xdr:colOff>
      <xdr:row>43</xdr:row>
      <xdr:rowOff>144921</xdr:rowOff>
    </xdr:to>
    <xdr:pic>
      <xdr:nvPicPr>
        <xdr:cNvPr id="41" name="図 4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40653" y="10503824"/>
          <a:ext cx="1228630" cy="1071097"/>
        </a:xfrm>
        <a:prstGeom prst="rect">
          <a:avLst/>
        </a:prstGeom>
      </xdr:spPr>
    </xdr:pic>
    <xdr:clientData/>
  </xdr:twoCellAnchor>
  <xdr:twoCellAnchor editAs="oneCell">
    <xdr:from>
      <xdr:col>36</xdr:col>
      <xdr:colOff>58431</xdr:colOff>
      <xdr:row>44</xdr:row>
      <xdr:rowOff>224917</xdr:rowOff>
    </xdr:from>
    <xdr:to>
      <xdr:col>40</xdr:col>
      <xdr:colOff>76767</xdr:colOff>
      <xdr:row>48</xdr:row>
      <xdr:rowOff>232940</xdr:rowOff>
    </xdr:to>
    <xdr:pic>
      <xdr:nvPicPr>
        <xdr:cNvPr id="42" name="図 4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65717" y="11927060"/>
          <a:ext cx="1052479" cy="1096594"/>
        </a:xfrm>
        <a:prstGeom prst="rect">
          <a:avLst/>
        </a:prstGeom>
      </xdr:spPr>
    </xdr:pic>
    <xdr:clientData/>
  </xdr:twoCellAnchor>
  <xdr:twoCellAnchor editAs="oneCell">
    <xdr:from>
      <xdr:col>36</xdr:col>
      <xdr:colOff>47625</xdr:colOff>
      <xdr:row>49</xdr:row>
      <xdr:rowOff>180975</xdr:rowOff>
    </xdr:from>
    <xdr:to>
      <xdr:col>40</xdr:col>
      <xdr:colOff>93525</xdr:colOff>
      <xdr:row>53</xdr:row>
      <xdr:rowOff>156075</xdr:rowOff>
    </xdr:to>
    <xdr:pic>
      <xdr:nvPicPr>
        <xdr:cNvPr id="45" name="図 4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305925" y="14268450"/>
          <a:ext cx="1074600" cy="1080000"/>
        </a:xfrm>
        <a:prstGeom prst="rect">
          <a:avLst/>
        </a:prstGeom>
      </xdr:spPr>
    </xdr:pic>
    <xdr:clientData/>
  </xdr:twoCellAnchor>
  <xdr:twoCellAnchor editAs="oneCell">
    <xdr:from>
      <xdr:col>35</xdr:col>
      <xdr:colOff>180977</xdr:colOff>
      <xdr:row>34</xdr:row>
      <xdr:rowOff>136152</xdr:rowOff>
    </xdr:from>
    <xdr:to>
      <xdr:col>40</xdr:col>
      <xdr:colOff>108584</xdr:colOff>
      <xdr:row>38</xdr:row>
      <xdr:rowOff>111252</xdr:rowOff>
    </xdr:to>
    <xdr:pic>
      <xdr:nvPicPr>
        <xdr:cNvPr id="47" name="図 4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229727" y="9116866"/>
          <a:ext cx="1220286" cy="1063672"/>
        </a:xfrm>
        <a:prstGeom prst="rect">
          <a:avLst/>
        </a:prstGeom>
      </xdr:spPr>
    </xdr:pic>
    <xdr:clientData/>
  </xdr:twoCellAnchor>
  <xdr:twoCellAnchor editAs="oneCell">
    <xdr:from>
      <xdr:col>36</xdr:col>
      <xdr:colOff>13531</xdr:colOff>
      <xdr:row>24</xdr:row>
      <xdr:rowOff>212912</xdr:rowOff>
    </xdr:from>
    <xdr:to>
      <xdr:col>40</xdr:col>
      <xdr:colOff>165629</xdr:colOff>
      <xdr:row>28</xdr:row>
      <xdr:rowOff>124803</xdr:rowOff>
    </xdr:to>
    <xdr:pic>
      <xdr:nvPicPr>
        <xdr:cNvPr id="53" name="図 5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292002" y="6656294"/>
          <a:ext cx="1183039" cy="1032480"/>
        </a:xfrm>
        <a:prstGeom prst="rect">
          <a:avLst/>
        </a:prstGeom>
      </xdr:spPr>
    </xdr:pic>
    <xdr:clientData/>
  </xdr:twoCellAnchor>
  <xdr:twoCellAnchor>
    <xdr:from>
      <xdr:col>27</xdr:col>
      <xdr:colOff>78443</xdr:colOff>
      <xdr:row>49</xdr:row>
      <xdr:rowOff>237766</xdr:rowOff>
    </xdr:from>
    <xdr:to>
      <xdr:col>35</xdr:col>
      <xdr:colOff>104561</xdr:colOff>
      <xdr:row>53</xdr:row>
      <xdr:rowOff>229476</xdr:rowOff>
    </xdr:to>
    <xdr:sp macro="" textlink="メイン!P7">
      <xdr:nvSpPr>
        <xdr:cNvPr id="55" name="メモ 54"/>
        <xdr:cNvSpPr/>
      </xdr:nvSpPr>
      <xdr:spPr>
        <a:xfrm>
          <a:off x="7037296" y="13684825"/>
          <a:ext cx="2088000" cy="1112298"/>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6B9F8F9-DB7D-4046-8850-5A6C7475E5D0}"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39</xdr:row>
      <xdr:rowOff>229968</xdr:rowOff>
    </xdr:from>
    <xdr:to>
      <xdr:col>35</xdr:col>
      <xdr:colOff>104560</xdr:colOff>
      <xdr:row>43</xdr:row>
      <xdr:rowOff>216663</xdr:rowOff>
    </xdr:to>
    <xdr:sp macro="" textlink="メイン!P5">
      <xdr:nvSpPr>
        <xdr:cNvPr id="56" name="メモ 55"/>
        <xdr:cNvSpPr/>
      </xdr:nvSpPr>
      <xdr:spPr>
        <a:xfrm>
          <a:off x="7037295" y="10875556"/>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114A9D1-A52D-49A3-A329-3D12746B8D99}"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34</xdr:row>
      <xdr:rowOff>219077</xdr:rowOff>
    </xdr:from>
    <xdr:to>
      <xdr:col>35</xdr:col>
      <xdr:colOff>104560</xdr:colOff>
      <xdr:row>38</xdr:row>
      <xdr:rowOff>205773</xdr:rowOff>
    </xdr:to>
    <xdr:sp macro="" textlink="メイン!P4">
      <xdr:nvSpPr>
        <xdr:cNvPr id="57" name="メモ 56"/>
        <xdr:cNvSpPr/>
      </xdr:nvSpPr>
      <xdr:spPr>
        <a:xfrm>
          <a:off x="7022167" y="9334502"/>
          <a:ext cx="2083518" cy="1091596"/>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0A6538E-EF14-4C77-A43C-274943EDEE75}"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24</xdr:row>
      <xdr:rowOff>234352</xdr:rowOff>
    </xdr:from>
    <xdr:to>
      <xdr:col>35</xdr:col>
      <xdr:colOff>104561</xdr:colOff>
      <xdr:row>28</xdr:row>
      <xdr:rowOff>221048</xdr:rowOff>
    </xdr:to>
    <xdr:sp macro="" textlink="メイン!P2">
      <xdr:nvSpPr>
        <xdr:cNvPr id="62" name="メモ 61"/>
        <xdr:cNvSpPr/>
      </xdr:nvSpPr>
      <xdr:spPr>
        <a:xfrm>
          <a:off x="7037296" y="6677734"/>
          <a:ext cx="2088000" cy="1107285"/>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7C677BD-A0D2-45A7-A9A5-5366F9E40356}"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29</xdr:row>
      <xdr:rowOff>224704</xdr:rowOff>
    </xdr:from>
    <xdr:to>
      <xdr:col>35</xdr:col>
      <xdr:colOff>104560</xdr:colOff>
      <xdr:row>33</xdr:row>
      <xdr:rowOff>211399</xdr:rowOff>
    </xdr:to>
    <xdr:sp macro="" textlink="メイン!P3">
      <xdr:nvSpPr>
        <xdr:cNvPr id="63" name="メモ 62"/>
        <xdr:cNvSpPr/>
      </xdr:nvSpPr>
      <xdr:spPr>
        <a:xfrm>
          <a:off x="7037295" y="8068822"/>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4954FB8-521E-46F5-9BE5-5D8C5FED1B88}"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44</xdr:row>
      <xdr:rowOff>230408</xdr:rowOff>
    </xdr:from>
    <xdr:to>
      <xdr:col>35</xdr:col>
      <xdr:colOff>104560</xdr:colOff>
      <xdr:row>48</xdr:row>
      <xdr:rowOff>217104</xdr:rowOff>
    </xdr:to>
    <xdr:sp macro="" textlink="メイン!P6">
      <xdr:nvSpPr>
        <xdr:cNvPr id="37" name="メモ 36"/>
        <xdr:cNvSpPr/>
      </xdr:nvSpPr>
      <xdr:spPr>
        <a:xfrm>
          <a:off x="7037295" y="12276732"/>
          <a:ext cx="2088000" cy="1107284"/>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F98C59C-58CF-45E2-B1EC-3B1AD85D816D}"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19</xdr:row>
      <xdr:rowOff>248967</xdr:rowOff>
    </xdr:from>
    <xdr:to>
      <xdr:col>35</xdr:col>
      <xdr:colOff>104561</xdr:colOff>
      <xdr:row>23</xdr:row>
      <xdr:rowOff>168089</xdr:rowOff>
    </xdr:to>
    <xdr:sp macro="" textlink="メイン!P1">
      <xdr:nvSpPr>
        <xdr:cNvPr id="36" name="メモ 35"/>
        <xdr:cNvSpPr/>
      </xdr:nvSpPr>
      <xdr:spPr>
        <a:xfrm>
          <a:off x="7037296" y="5291614"/>
          <a:ext cx="2088000" cy="1039710"/>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3358B5F-867E-462C-B584-FA3BF3844A66}" type="TxLink">
            <a:rPr lang="en-US" altLang="en-US" sz="900" b="0" i="0" u="none" strike="noStrike">
              <a:solidFill>
                <a:srgbClr val="000000"/>
              </a:solidFill>
              <a:effectLst/>
              <a:latin typeface="Meiryo UI" panose="020B0604030504040204" pitchFamily="50" charset="-128"/>
              <a:ea typeface="Meiryo UI" panose="020B0604030504040204" pitchFamily="50" charset="-128"/>
              <a:cs typeface="+mn-cs"/>
            </a:rPr>
            <a:pPr algn="l"/>
            <a:t>etc.</a:t>
          </a:fld>
          <a:endParaRPr lang="en-US" altLang="ja-JP" sz="900" b="0" i="0" u="none" strike="noStrik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180975</xdr:colOff>
      <xdr:row>7</xdr:row>
      <xdr:rowOff>39780</xdr:rowOff>
    </xdr:from>
    <xdr:to>
      <xdr:col>41</xdr:col>
      <xdr:colOff>171449</xdr:colOff>
      <xdr:row>18</xdr:row>
      <xdr:rowOff>133350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17</xdr:col>
      <xdr:colOff>127144</xdr:colOff>
      <xdr:row>20</xdr:row>
      <xdr:rowOff>186936</xdr:rowOff>
    </xdr:from>
    <xdr:ext cx="2487706" cy="692562"/>
    <xdr:sp macro="" textlink="メイン!AA2">
      <xdr:nvSpPr>
        <xdr:cNvPr id="4" name="正方形/長方形 3"/>
        <xdr:cNvSpPr/>
      </xdr:nvSpPr>
      <xdr:spPr>
        <a:xfrm>
          <a:off x="4486663" y="6004513"/>
          <a:ext cx="2487706" cy="692562"/>
        </a:xfrm>
        <a:prstGeom prst="rect">
          <a:avLst/>
        </a:prstGeom>
        <a:noFill/>
      </xdr:spPr>
      <xdr:txBody>
        <a:bodyPr wrap="square" lIns="91440" tIns="45720" rIns="91440" bIns="45720">
          <a:spAutoFit/>
        </a:bodyPr>
        <a:lstStyle/>
        <a:p>
          <a:pPr algn="ctr"/>
          <a:fld id="{222BE602-99CE-4002-BB36-9AF3E4B98575}"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168088</xdr:colOff>
      <xdr:row>26</xdr:row>
      <xdr:rowOff>67235</xdr:rowOff>
    </xdr:from>
    <xdr:to>
      <xdr:col>10</xdr:col>
      <xdr:colOff>112059</xdr:colOff>
      <xdr:row>27</xdr:row>
      <xdr:rowOff>224117</xdr:rowOff>
    </xdr:to>
    <xdr:sp macro="" textlink="">
      <xdr:nvSpPr>
        <xdr:cNvPr id="35" name="右矢印 34"/>
        <xdr:cNvSpPr/>
      </xdr:nvSpPr>
      <xdr:spPr>
        <a:xfrm>
          <a:off x="2229970" y="707091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31</xdr:row>
      <xdr:rowOff>56029</xdr:rowOff>
    </xdr:from>
    <xdr:to>
      <xdr:col>10</xdr:col>
      <xdr:colOff>134471</xdr:colOff>
      <xdr:row>32</xdr:row>
      <xdr:rowOff>212912</xdr:rowOff>
    </xdr:to>
    <xdr:sp macro="" textlink="">
      <xdr:nvSpPr>
        <xdr:cNvPr id="46" name="右矢印 45"/>
        <xdr:cNvSpPr/>
      </xdr:nvSpPr>
      <xdr:spPr>
        <a:xfrm>
          <a:off x="2252382" y="846044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36</xdr:row>
      <xdr:rowOff>67235</xdr:rowOff>
    </xdr:from>
    <xdr:to>
      <xdr:col>10</xdr:col>
      <xdr:colOff>123265</xdr:colOff>
      <xdr:row>37</xdr:row>
      <xdr:rowOff>224118</xdr:rowOff>
    </xdr:to>
    <xdr:sp macro="" textlink="">
      <xdr:nvSpPr>
        <xdr:cNvPr id="48" name="右矢印 47"/>
        <xdr:cNvSpPr/>
      </xdr:nvSpPr>
      <xdr:spPr>
        <a:xfrm>
          <a:off x="2241176" y="9872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156883</xdr:colOff>
      <xdr:row>41</xdr:row>
      <xdr:rowOff>67235</xdr:rowOff>
    </xdr:from>
    <xdr:to>
      <xdr:col>10</xdr:col>
      <xdr:colOff>100854</xdr:colOff>
      <xdr:row>42</xdr:row>
      <xdr:rowOff>224118</xdr:rowOff>
    </xdr:to>
    <xdr:sp macro="" textlink="">
      <xdr:nvSpPr>
        <xdr:cNvPr id="50" name="右矢印 49"/>
        <xdr:cNvSpPr/>
      </xdr:nvSpPr>
      <xdr:spPr>
        <a:xfrm>
          <a:off x="2218765" y="11273117"/>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46</xdr:row>
      <xdr:rowOff>67235</xdr:rowOff>
    </xdr:from>
    <xdr:to>
      <xdr:col>10</xdr:col>
      <xdr:colOff>134471</xdr:colOff>
      <xdr:row>47</xdr:row>
      <xdr:rowOff>224118</xdr:rowOff>
    </xdr:to>
    <xdr:sp macro="" textlink="">
      <xdr:nvSpPr>
        <xdr:cNvPr id="52" name="右矢印 51"/>
        <xdr:cNvSpPr/>
      </xdr:nvSpPr>
      <xdr:spPr>
        <a:xfrm>
          <a:off x="2252382" y="12673853"/>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51</xdr:row>
      <xdr:rowOff>56029</xdr:rowOff>
    </xdr:from>
    <xdr:to>
      <xdr:col>10</xdr:col>
      <xdr:colOff>123265</xdr:colOff>
      <xdr:row>52</xdr:row>
      <xdr:rowOff>212912</xdr:rowOff>
    </xdr:to>
    <xdr:sp macro="" textlink="">
      <xdr:nvSpPr>
        <xdr:cNvPr id="54" name="右矢印 53"/>
        <xdr:cNvSpPr/>
      </xdr:nvSpPr>
      <xdr:spPr>
        <a:xfrm>
          <a:off x="2241176" y="14063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127144</xdr:colOff>
      <xdr:row>25</xdr:row>
      <xdr:rowOff>201708</xdr:rowOff>
    </xdr:from>
    <xdr:ext cx="2487706" cy="692562"/>
    <xdr:sp macro="" textlink="メイン!AA3">
      <xdr:nvSpPr>
        <xdr:cNvPr id="58" name="正方形/長方形 57"/>
        <xdr:cNvSpPr/>
      </xdr:nvSpPr>
      <xdr:spPr>
        <a:xfrm>
          <a:off x="4486663" y="7411400"/>
          <a:ext cx="2487706" cy="692562"/>
        </a:xfrm>
        <a:prstGeom prst="rect">
          <a:avLst/>
        </a:prstGeom>
        <a:noFill/>
      </xdr:spPr>
      <xdr:txBody>
        <a:bodyPr wrap="square" lIns="91440" tIns="45720" rIns="91440" bIns="45720">
          <a:spAutoFit/>
        </a:bodyPr>
        <a:lstStyle/>
        <a:p>
          <a:pPr algn="ctr"/>
          <a:fld id="{73F1F123-7304-45B1-91F8-61A693CF188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30</xdr:row>
      <xdr:rowOff>189640</xdr:rowOff>
    </xdr:from>
    <xdr:ext cx="2487706" cy="692562"/>
    <xdr:sp macro="" textlink="メイン!AA4">
      <xdr:nvSpPr>
        <xdr:cNvPr id="59" name="正方形/長方形 58"/>
        <xdr:cNvSpPr/>
      </xdr:nvSpPr>
      <xdr:spPr>
        <a:xfrm>
          <a:off x="4486663" y="8791448"/>
          <a:ext cx="2487706" cy="692562"/>
        </a:xfrm>
        <a:prstGeom prst="rect">
          <a:avLst/>
        </a:prstGeom>
        <a:noFill/>
      </xdr:spPr>
      <xdr:txBody>
        <a:bodyPr wrap="square" lIns="91440" tIns="45720" rIns="91440" bIns="45720">
          <a:spAutoFit/>
        </a:bodyPr>
        <a:lstStyle/>
        <a:p>
          <a:pPr algn="ctr"/>
          <a:fld id="{AB84FA04-B1C3-42FB-AD1F-9CEDE8FA173E}"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35</xdr:row>
      <xdr:rowOff>179296</xdr:rowOff>
    </xdr:from>
    <xdr:ext cx="2487706" cy="692562"/>
    <xdr:sp macro="" textlink="メイン!AA5">
      <xdr:nvSpPr>
        <xdr:cNvPr id="60" name="正方形/長方形 59"/>
        <xdr:cNvSpPr/>
      </xdr:nvSpPr>
      <xdr:spPr>
        <a:xfrm>
          <a:off x="4486663" y="10173219"/>
          <a:ext cx="2487706" cy="692562"/>
        </a:xfrm>
        <a:prstGeom prst="rect">
          <a:avLst/>
        </a:prstGeom>
        <a:noFill/>
      </xdr:spPr>
      <xdr:txBody>
        <a:bodyPr wrap="square" lIns="91440" tIns="45720" rIns="91440" bIns="45720">
          <a:spAutoFit/>
        </a:bodyPr>
        <a:lstStyle/>
        <a:p>
          <a:pPr algn="ctr"/>
          <a:fld id="{C5B76E51-50EB-4BEB-908B-7D494CD1868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45</xdr:row>
      <xdr:rowOff>168088</xdr:rowOff>
    </xdr:from>
    <xdr:ext cx="2487706" cy="692562"/>
    <xdr:sp macro="" textlink="メイン!AA7">
      <xdr:nvSpPr>
        <xdr:cNvPr id="64" name="正方形/長方形 63"/>
        <xdr:cNvSpPr/>
      </xdr:nvSpPr>
      <xdr:spPr>
        <a:xfrm>
          <a:off x="4486663" y="12946242"/>
          <a:ext cx="2487706" cy="692562"/>
        </a:xfrm>
        <a:prstGeom prst="rect">
          <a:avLst/>
        </a:prstGeom>
        <a:noFill/>
      </xdr:spPr>
      <xdr:txBody>
        <a:bodyPr wrap="square" lIns="91440" tIns="45720" rIns="91440" bIns="45720">
          <a:spAutoFit/>
        </a:bodyPr>
        <a:lstStyle/>
        <a:p>
          <a:pPr algn="ctr"/>
          <a:fld id="{49772F78-C550-4E56-B4CF-F0C78CE0280A}"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50</xdr:row>
      <xdr:rowOff>179295</xdr:rowOff>
    </xdr:from>
    <xdr:ext cx="2487706" cy="692562"/>
    <xdr:sp macro="" textlink="メイン!AA8">
      <xdr:nvSpPr>
        <xdr:cNvPr id="65" name="正方形/長方形 64"/>
        <xdr:cNvSpPr/>
      </xdr:nvSpPr>
      <xdr:spPr>
        <a:xfrm>
          <a:off x="4486663" y="14349564"/>
          <a:ext cx="2487706" cy="692562"/>
        </a:xfrm>
        <a:prstGeom prst="rect">
          <a:avLst/>
        </a:prstGeom>
        <a:noFill/>
      </xdr:spPr>
      <xdr:txBody>
        <a:bodyPr wrap="square" lIns="91440" tIns="45720" rIns="91440" bIns="45720">
          <a:spAutoFit/>
        </a:bodyPr>
        <a:lstStyle/>
        <a:p>
          <a:pPr algn="ctr"/>
          <a:fld id="{98B5EFAD-B34F-4997-B2C7-97041CF45AA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23</xdr:col>
      <xdr:colOff>31937</xdr:colOff>
      <xdr:row>16</xdr:row>
      <xdr:rowOff>31095</xdr:rowOff>
    </xdr:from>
    <xdr:to>
      <xdr:col>25</xdr:col>
      <xdr:colOff>238124</xdr:colOff>
      <xdr:row>17</xdr:row>
      <xdr:rowOff>114300</xdr:rowOff>
    </xdr:to>
    <xdr:sp macro="" textlink="">
      <xdr:nvSpPr>
        <xdr:cNvPr id="8" name="テキスト ボックス 7"/>
        <xdr:cNvSpPr txBox="1"/>
      </xdr:nvSpPr>
      <xdr:spPr>
        <a:xfrm>
          <a:off x="5946962" y="4412595"/>
          <a:ext cx="720537" cy="64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Meiryo UI" panose="020B0604030504040204" pitchFamily="50" charset="-128"/>
              <a:ea typeface="Meiryo UI" panose="020B0604030504040204" pitchFamily="50" charset="-128"/>
            </a:rPr>
            <a:t>円の</a:t>
          </a:r>
        </a:p>
        <a:p>
          <a:r>
            <a:rPr kumimoji="1" lang="ja-JP" altLang="en-US" sz="1000" b="1">
              <a:latin typeface="Meiryo UI" panose="020B0604030504040204" pitchFamily="50" charset="-128"/>
              <a:ea typeface="Meiryo UI" panose="020B0604030504040204" pitchFamily="50" charset="-128"/>
            </a:rPr>
            <a:t>コスト減</a:t>
          </a:r>
        </a:p>
      </xdr:txBody>
    </xdr:sp>
    <xdr:clientData/>
  </xdr:twoCellAnchor>
  <xdr:oneCellAnchor>
    <xdr:from>
      <xdr:col>28</xdr:col>
      <xdr:colOff>180975</xdr:colOff>
      <xdr:row>7</xdr:row>
      <xdr:rowOff>194780</xdr:rowOff>
    </xdr:from>
    <xdr:ext cx="2879351" cy="692562"/>
    <xdr:sp macro="" textlink="メイン!AA9">
      <xdr:nvSpPr>
        <xdr:cNvPr id="39" name="正方形/長方形 38"/>
        <xdr:cNvSpPr/>
      </xdr:nvSpPr>
      <xdr:spPr>
        <a:xfrm>
          <a:off x="7381875" y="2128355"/>
          <a:ext cx="2879351" cy="692562"/>
        </a:xfrm>
        <a:prstGeom prst="rect">
          <a:avLst/>
        </a:prstGeom>
        <a:noFill/>
      </xdr:spPr>
      <xdr:txBody>
        <a:bodyPr wrap="square" lIns="91440" tIns="45720" rIns="91440" bIns="45720">
          <a:spAutoFit/>
        </a:bodyPr>
        <a:lstStyle/>
        <a:p>
          <a:pPr algn="ctr"/>
          <a:fld id="{11F46156-62BF-42B0-891F-8DDAC7317B8F}"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88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40</xdr:row>
      <xdr:rowOff>168088</xdr:rowOff>
    </xdr:from>
    <xdr:ext cx="2487706" cy="692562"/>
    <xdr:sp macro="" textlink="メイン!AA6">
      <xdr:nvSpPr>
        <xdr:cNvPr id="51" name="正方形/長方形 50"/>
        <xdr:cNvSpPr/>
      </xdr:nvSpPr>
      <xdr:spPr>
        <a:xfrm>
          <a:off x="4486663" y="11554126"/>
          <a:ext cx="2487706" cy="692562"/>
        </a:xfrm>
        <a:prstGeom prst="rect">
          <a:avLst/>
        </a:prstGeom>
        <a:noFill/>
      </xdr:spPr>
      <xdr:txBody>
        <a:bodyPr wrap="square" lIns="91440" tIns="45720" rIns="91440" bIns="45720">
          <a:spAutoFit/>
        </a:bodyPr>
        <a:lstStyle/>
        <a:p>
          <a:pPr algn="ctr"/>
          <a:fld id="{B3270576-5C04-4759-BEDB-DE0878A4FDF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wrap="square" lIns="91440" tIns="45720" rIns="91440" bIns="45720">
        <a:spAutoFit/>
      </a:bodyPr>
      <a:lstStyle>
        <a:defPPr algn="ctr">
          <a:defRPr sz="34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游ゴシック"/>
            <a:ea typeface="游ゴシック"/>
          </a:defRPr>
        </a:defPPr>
      </a:lst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BN41"/>
  <sheetViews>
    <sheetView showGridLines="0" showRowColHeaders="0" tabSelected="1" zoomScaleNormal="100" zoomScaleSheetLayoutView="100" workbookViewId="0">
      <pane ySplit="4" topLeftCell="A5" activePane="bottomLeft" state="frozen"/>
      <selection pane="bottomLeft" activeCell="H6" sqref="H6:Q7"/>
    </sheetView>
  </sheetViews>
  <sheetFormatPr defaultColWidth="0" defaultRowHeight="18.75" zeroHeight="1"/>
  <cols>
    <col min="1" max="37" width="3.25" style="524" customWidth="1"/>
    <col min="38" max="38" width="13.625" style="524" hidden="1" customWidth="1"/>
    <col min="39" max="42" width="9" style="524" hidden="1" customWidth="1"/>
    <col min="43" max="43" width="13.25" style="524" hidden="1" customWidth="1"/>
    <col min="44" max="16384" width="9" style="524" hidden="1"/>
  </cols>
  <sheetData>
    <row r="1" spans="1:66" s="459" customFormat="1" ht="24.75" customHeight="1">
      <c r="A1" s="462"/>
      <c r="B1" s="580" t="s">
        <v>733</v>
      </c>
      <c r="C1" s="580"/>
      <c r="D1" s="580"/>
      <c r="E1" s="580"/>
      <c r="F1" s="580"/>
      <c r="G1" s="580"/>
      <c r="H1" s="580"/>
      <c r="I1" s="580"/>
      <c r="J1" s="580"/>
      <c r="K1" s="580"/>
      <c r="L1" s="462"/>
      <c r="M1" s="462"/>
      <c r="N1" s="462"/>
      <c r="O1" s="581" t="s">
        <v>641</v>
      </c>
      <c r="P1" s="581"/>
      <c r="Q1" s="581"/>
      <c r="R1" s="581"/>
      <c r="S1" s="581"/>
      <c r="T1" s="581"/>
      <c r="U1" s="581"/>
      <c r="V1" s="581"/>
      <c r="W1" s="581"/>
      <c r="X1" s="462"/>
      <c r="Y1" s="462"/>
      <c r="Z1" s="462"/>
      <c r="AA1" s="462"/>
      <c r="AB1" s="462"/>
      <c r="AC1" s="462"/>
      <c r="AD1" s="463"/>
      <c r="AE1" s="556" t="str">
        <f>"（"&amp;用途&amp;"用）"</f>
        <v>（事務所用）</v>
      </c>
      <c r="AF1" s="556"/>
      <c r="AG1" s="556"/>
      <c r="AH1" s="556"/>
      <c r="AI1" s="556"/>
      <c r="AJ1" s="556"/>
      <c r="AK1" s="464"/>
    </row>
    <row r="2" spans="1:66" s="561" customFormat="1" ht="45.75" customHeight="1">
      <c r="A2" s="561" t="s">
        <v>717</v>
      </c>
    </row>
    <row r="3" spans="1:66" customFormat="1">
      <c r="A3" s="582" t="s">
        <v>605</v>
      </c>
      <c r="B3" s="582"/>
      <c r="C3" s="582"/>
      <c r="D3" s="582"/>
      <c r="E3" s="582"/>
      <c r="F3" s="557" t="s">
        <v>716</v>
      </c>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row>
    <row r="4" spans="1:66" customFormat="1" ht="34.5" customHeight="1">
      <c r="A4" s="442"/>
      <c r="B4" s="443"/>
      <c r="C4" s="444"/>
      <c r="D4" s="444"/>
      <c r="E4" s="444"/>
      <c r="F4" s="558" t="s">
        <v>715</v>
      </c>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row>
    <row r="5" spans="1:66" customFormat="1" ht="28.5" customHeight="1" thickBot="1">
      <c r="A5" s="80"/>
      <c r="B5" s="471" t="s">
        <v>557</v>
      </c>
      <c r="C5" s="472" t="s">
        <v>117</v>
      </c>
      <c r="D5" s="422"/>
      <c r="E5" s="422"/>
      <c r="F5" s="422"/>
      <c r="G5" s="422"/>
      <c r="H5" s="422"/>
      <c r="I5" s="422"/>
      <c r="J5" s="422"/>
      <c r="K5" s="422"/>
      <c r="L5" s="422"/>
      <c r="M5" s="422"/>
      <c r="N5" s="422"/>
      <c r="O5" s="422"/>
      <c r="P5" s="422"/>
      <c r="Q5" s="422"/>
      <c r="R5" s="422"/>
      <c r="S5" s="471" t="s">
        <v>557</v>
      </c>
      <c r="T5" s="472" t="s">
        <v>486</v>
      </c>
      <c r="U5" s="423"/>
      <c r="V5" s="423"/>
      <c r="W5" s="97"/>
      <c r="X5" s="97"/>
      <c r="Y5" s="97"/>
      <c r="Z5" s="97"/>
      <c r="AA5" s="97"/>
      <c r="AB5" s="97"/>
      <c r="AC5" s="97"/>
      <c r="AD5" s="97"/>
      <c r="AE5" s="97"/>
      <c r="AF5" s="97"/>
      <c r="AG5" s="97"/>
      <c r="AH5" s="97"/>
      <c r="AI5" s="97"/>
      <c r="AJ5" s="80"/>
    </row>
    <row r="6" spans="1:66" customFormat="1" ht="20.100000000000001" customHeight="1">
      <c r="A6" s="80"/>
      <c r="B6" s="562" t="s">
        <v>110</v>
      </c>
      <c r="C6" s="563"/>
      <c r="D6" s="563"/>
      <c r="E6" s="563"/>
      <c r="F6" s="563"/>
      <c r="G6" s="563"/>
      <c r="H6" s="566"/>
      <c r="I6" s="566"/>
      <c r="J6" s="566"/>
      <c r="K6" s="566"/>
      <c r="L6" s="566"/>
      <c r="M6" s="566"/>
      <c r="N6" s="566"/>
      <c r="O6" s="566"/>
      <c r="P6" s="566"/>
      <c r="Q6" s="567"/>
      <c r="R6" s="97"/>
      <c r="S6" s="570" t="s">
        <v>118</v>
      </c>
      <c r="T6" s="571"/>
      <c r="U6" s="571"/>
      <c r="V6" s="571"/>
      <c r="W6" s="571"/>
      <c r="X6" s="571"/>
      <c r="Y6" s="572"/>
      <c r="Z6" s="573"/>
      <c r="AA6" s="573"/>
      <c r="AB6" s="573"/>
      <c r="AC6" s="573"/>
      <c r="AD6" s="573"/>
      <c r="AE6" s="573"/>
      <c r="AF6" s="573"/>
      <c r="AG6" s="573"/>
      <c r="AH6" s="559" t="s">
        <v>558</v>
      </c>
      <c r="AI6" s="559"/>
      <c r="AJ6" s="560"/>
      <c r="AX6" s="436"/>
      <c r="AY6" s="436"/>
      <c r="AZ6" s="436"/>
      <c r="BA6" s="436"/>
      <c r="BB6" s="436"/>
      <c r="BC6" s="436"/>
      <c r="BD6" s="92"/>
      <c r="BE6" s="437"/>
      <c r="BF6" s="437"/>
      <c r="BG6" s="437"/>
      <c r="BH6" s="437"/>
      <c r="BI6" s="437"/>
      <c r="BJ6" s="437"/>
      <c r="BK6" s="437"/>
      <c r="BL6" s="437"/>
      <c r="BM6" s="435"/>
      <c r="BN6" s="435"/>
    </row>
    <row r="7" spans="1:66" customFormat="1" ht="20.100000000000001" customHeight="1">
      <c r="A7" s="80"/>
      <c r="B7" s="564"/>
      <c r="C7" s="565"/>
      <c r="D7" s="565"/>
      <c r="E7" s="565"/>
      <c r="F7" s="565"/>
      <c r="G7" s="565"/>
      <c r="H7" s="568"/>
      <c r="I7" s="568"/>
      <c r="J7" s="568"/>
      <c r="K7" s="568"/>
      <c r="L7" s="568"/>
      <c r="M7" s="568"/>
      <c r="N7" s="568"/>
      <c r="O7" s="568"/>
      <c r="P7" s="568"/>
      <c r="Q7" s="569"/>
      <c r="R7" s="424"/>
      <c r="S7" s="574" t="s">
        <v>620</v>
      </c>
      <c r="T7" s="575"/>
      <c r="U7" s="575"/>
      <c r="V7" s="575"/>
      <c r="W7" s="575"/>
      <c r="X7" s="575"/>
      <c r="Y7" s="576"/>
      <c r="Z7" s="577"/>
      <c r="AA7" s="577"/>
      <c r="AB7" s="577"/>
      <c r="AC7" s="577"/>
      <c r="AD7" s="577"/>
      <c r="AE7" s="577"/>
      <c r="AF7" s="577"/>
      <c r="AG7" s="577"/>
      <c r="AH7" s="578" t="s">
        <v>124</v>
      </c>
      <c r="AI7" s="578"/>
      <c r="AJ7" s="579"/>
      <c r="AX7" s="436"/>
      <c r="AY7" s="436"/>
      <c r="AZ7" s="436"/>
      <c r="BA7" s="436"/>
      <c r="BB7" s="436"/>
      <c r="BC7" s="436"/>
      <c r="BD7" s="92"/>
      <c r="BE7" s="437"/>
      <c r="BF7" s="437"/>
      <c r="BG7" s="437"/>
      <c r="BH7" s="437"/>
      <c r="BI7" s="437"/>
      <c r="BJ7" s="437"/>
      <c r="BK7" s="437"/>
      <c r="BL7" s="437"/>
      <c r="BM7" s="435"/>
      <c r="BN7" s="435"/>
    </row>
    <row r="8" spans="1:66" customFormat="1" ht="20.100000000000001" customHeight="1">
      <c r="A8" s="80"/>
      <c r="B8" s="594" t="s">
        <v>111</v>
      </c>
      <c r="C8" s="587"/>
      <c r="D8" s="587"/>
      <c r="E8" s="587"/>
      <c r="F8" s="587"/>
      <c r="G8" s="587"/>
      <c r="H8" s="595" t="str">
        <f>用途</f>
        <v>事務所</v>
      </c>
      <c r="I8" s="595"/>
      <c r="J8" s="595"/>
      <c r="K8" s="595"/>
      <c r="L8" s="595"/>
      <c r="M8" s="595"/>
      <c r="N8" s="595"/>
      <c r="O8" s="595"/>
      <c r="P8" s="595"/>
      <c r="Q8" s="596"/>
      <c r="R8" s="425"/>
      <c r="S8" s="586" t="s">
        <v>34</v>
      </c>
      <c r="T8" s="587"/>
      <c r="U8" s="587"/>
      <c r="V8" s="587"/>
      <c r="W8" s="587"/>
      <c r="X8" s="587"/>
      <c r="Y8" s="588"/>
      <c r="Z8" s="589"/>
      <c r="AA8" s="589"/>
      <c r="AB8" s="589"/>
      <c r="AC8" s="589"/>
      <c r="AD8" s="589"/>
      <c r="AE8" s="589"/>
      <c r="AF8" s="589"/>
      <c r="AG8" s="589"/>
      <c r="AH8" s="590" t="s">
        <v>712</v>
      </c>
      <c r="AI8" s="590"/>
      <c r="AJ8" s="591"/>
      <c r="AX8" s="436"/>
      <c r="AY8" s="436"/>
      <c r="AZ8" s="436"/>
      <c r="BA8" s="436"/>
      <c r="BB8" s="436"/>
      <c r="BC8" s="436"/>
      <c r="BD8" s="92"/>
      <c r="BE8" s="437"/>
      <c r="BF8" s="437"/>
      <c r="BG8" s="437"/>
      <c r="BH8" s="437"/>
      <c r="BI8" s="437"/>
      <c r="BJ8" s="437"/>
      <c r="BK8" s="437"/>
      <c r="BL8" s="437"/>
      <c r="BM8" s="435"/>
      <c r="BN8" s="435"/>
    </row>
    <row r="9" spans="1:66" customFormat="1" ht="20.100000000000001" customHeight="1">
      <c r="A9" s="80"/>
      <c r="B9" s="597" t="s">
        <v>299</v>
      </c>
      <c r="C9" s="598"/>
      <c r="D9" s="598"/>
      <c r="E9" s="598"/>
      <c r="F9" s="598"/>
      <c r="G9" s="598"/>
      <c r="H9" s="601"/>
      <c r="I9" s="601"/>
      <c r="J9" s="601"/>
      <c r="K9" s="601"/>
      <c r="L9" s="601"/>
      <c r="M9" s="601"/>
      <c r="N9" s="601"/>
      <c r="O9" s="601"/>
      <c r="P9" s="603" t="s">
        <v>714</v>
      </c>
      <c r="Q9" s="604"/>
      <c r="R9" s="426"/>
      <c r="S9" s="586" t="s">
        <v>640</v>
      </c>
      <c r="T9" s="587"/>
      <c r="U9" s="587"/>
      <c r="V9" s="587"/>
      <c r="W9" s="587"/>
      <c r="X9" s="587"/>
      <c r="Y9" s="588"/>
      <c r="Z9" s="589"/>
      <c r="AA9" s="589"/>
      <c r="AB9" s="589"/>
      <c r="AC9" s="589"/>
      <c r="AD9" s="589"/>
      <c r="AE9" s="589"/>
      <c r="AF9" s="589"/>
      <c r="AG9" s="589"/>
      <c r="AH9" s="590" t="s">
        <v>98</v>
      </c>
      <c r="AI9" s="590"/>
      <c r="AJ9" s="591"/>
      <c r="AX9" s="436"/>
      <c r="AY9" s="436"/>
      <c r="AZ9" s="436"/>
      <c r="BA9" s="436"/>
      <c r="BB9" s="436"/>
      <c r="BC9" s="436"/>
      <c r="BD9" s="92"/>
      <c r="BE9" s="434"/>
      <c r="BF9" s="434"/>
      <c r="BG9" s="434"/>
      <c r="BH9" s="434"/>
      <c r="BI9" s="434"/>
      <c r="BJ9" s="434"/>
      <c r="BK9" s="434"/>
      <c r="BL9" s="434"/>
      <c r="BM9" s="435"/>
      <c r="BN9" s="435"/>
    </row>
    <row r="10" spans="1:66" customFormat="1" ht="20.100000000000001" customHeight="1" thickBot="1">
      <c r="A10" s="80"/>
      <c r="B10" s="599"/>
      <c r="C10" s="600"/>
      <c r="D10" s="600"/>
      <c r="E10" s="600"/>
      <c r="F10" s="600"/>
      <c r="G10" s="600"/>
      <c r="H10" s="602"/>
      <c r="I10" s="602"/>
      <c r="J10" s="602"/>
      <c r="K10" s="602"/>
      <c r="L10" s="602"/>
      <c r="M10" s="602"/>
      <c r="N10" s="602"/>
      <c r="O10" s="602"/>
      <c r="P10" s="605"/>
      <c r="Q10" s="606"/>
      <c r="R10" s="80"/>
      <c r="S10" s="607" t="s">
        <v>711</v>
      </c>
      <c r="T10" s="608"/>
      <c r="U10" s="608"/>
      <c r="V10" s="608"/>
      <c r="W10" s="608"/>
      <c r="X10" s="608"/>
      <c r="Y10" s="584">
        <f>メイン!$D$9</f>
        <v>0</v>
      </c>
      <c r="Z10" s="585"/>
      <c r="AA10" s="585"/>
      <c r="AB10" s="585"/>
      <c r="AC10" s="585"/>
      <c r="AD10" s="585"/>
      <c r="AE10" s="585"/>
      <c r="AF10" s="585"/>
      <c r="AG10" s="585"/>
      <c r="AH10" s="592" t="s">
        <v>713</v>
      </c>
      <c r="AI10" s="592"/>
      <c r="AJ10" s="593"/>
      <c r="AX10" s="92"/>
      <c r="AY10" s="92"/>
      <c r="AZ10" s="92"/>
      <c r="BA10" s="92"/>
      <c r="BB10" s="92"/>
      <c r="BC10" s="92"/>
      <c r="BD10" s="92"/>
      <c r="BE10" s="92"/>
      <c r="BF10" s="92"/>
      <c r="BG10" s="92"/>
      <c r="BH10" s="92"/>
      <c r="BI10" s="92"/>
      <c r="BJ10" s="92"/>
      <c r="BK10" s="92"/>
      <c r="BL10" s="92"/>
      <c r="BM10" s="92"/>
      <c r="BN10" s="92"/>
    </row>
    <row r="11" spans="1:66" ht="20.100000000000001" customHeight="1" thickTop="1">
      <c r="A11" s="518"/>
      <c r="B11" s="519"/>
      <c r="C11" s="520"/>
      <c r="D11" s="520"/>
      <c r="E11" s="520"/>
      <c r="F11" s="520"/>
      <c r="G11" s="520"/>
      <c r="H11" s="521"/>
      <c r="I11" s="522"/>
      <c r="J11" s="522"/>
      <c r="K11" s="522"/>
      <c r="L11" s="522"/>
      <c r="M11" s="522"/>
      <c r="N11" s="522"/>
      <c r="O11" s="522"/>
      <c r="P11" s="523"/>
      <c r="Q11" s="523"/>
      <c r="R11" s="518"/>
      <c r="AX11" s="525"/>
      <c r="AY11" s="525"/>
      <c r="AZ11" s="525"/>
      <c r="BA11" s="525"/>
      <c r="BB11" s="525"/>
      <c r="BC11" s="525"/>
      <c r="BD11" s="521"/>
      <c r="BE11" s="522"/>
      <c r="BF11" s="522"/>
      <c r="BG11" s="522"/>
      <c r="BH11" s="522"/>
      <c r="BI11" s="522"/>
      <c r="BJ11" s="522"/>
      <c r="BK11" s="522"/>
      <c r="BL11" s="523"/>
      <c r="BM11" s="523"/>
      <c r="BN11" s="521"/>
    </row>
    <row r="12" spans="1:66" ht="20.100000000000001" customHeight="1" thickBot="1">
      <c r="A12" s="518"/>
      <c r="B12" s="526" t="s">
        <v>706</v>
      </c>
      <c r="C12" s="520"/>
      <c r="D12" s="520"/>
      <c r="E12" s="520"/>
      <c r="F12" s="520"/>
      <c r="G12" s="520"/>
      <c r="H12" s="521"/>
      <c r="I12" s="522"/>
      <c r="J12" s="522"/>
      <c r="K12" s="522"/>
      <c r="L12" s="522"/>
      <c r="M12" s="522"/>
      <c r="N12" s="522"/>
      <c r="O12" s="522"/>
      <c r="P12" s="583"/>
      <c r="Q12" s="583"/>
      <c r="R12" s="518"/>
      <c r="S12" s="518"/>
      <c r="T12" s="518"/>
      <c r="U12" s="518"/>
      <c r="V12" s="518"/>
      <c r="W12" s="518"/>
      <c r="X12" s="518"/>
      <c r="Y12" s="518"/>
      <c r="AX12" s="521"/>
      <c r="AY12" s="521"/>
      <c r="AZ12" s="520"/>
      <c r="BA12" s="520"/>
      <c r="BB12" s="520"/>
      <c r="BC12" s="520"/>
      <c r="BD12" s="521"/>
      <c r="BE12" s="522"/>
      <c r="BF12" s="522"/>
      <c r="BG12" s="522"/>
      <c r="BH12" s="522"/>
      <c r="BI12" s="522"/>
      <c r="BJ12" s="522"/>
      <c r="BK12" s="522"/>
      <c r="BL12" s="523"/>
      <c r="BM12" s="523"/>
      <c r="BN12" s="521"/>
    </row>
    <row r="13" spans="1:66" ht="20.100000000000001" customHeight="1" thickTop="1">
      <c r="A13" s="518"/>
      <c r="B13" s="519"/>
      <c r="C13" s="520"/>
      <c r="D13" s="520"/>
      <c r="E13" s="520"/>
      <c r="F13" s="547" t="str">
        <f>低炭素ベンチマーク計算!C46</f>
        <v>※延べ床面積と電気使用量、年間電気使用料金を入力してください。</v>
      </c>
      <c r="G13" s="548"/>
      <c r="H13" s="548"/>
      <c r="I13" s="548"/>
      <c r="J13" s="548"/>
      <c r="K13" s="548"/>
      <c r="L13" s="548"/>
      <c r="M13" s="548"/>
      <c r="N13" s="548"/>
      <c r="O13" s="548"/>
      <c r="P13" s="548"/>
      <c r="Q13" s="548"/>
      <c r="R13" s="548"/>
      <c r="S13" s="548"/>
      <c r="T13" s="548"/>
      <c r="U13" s="548"/>
      <c r="V13" s="548"/>
      <c r="W13" s="548"/>
      <c r="X13" s="548"/>
      <c r="Y13" s="549"/>
      <c r="Z13" s="527"/>
      <c r="AA13" s="527"/>
      <c r="AB13" s="527"/>
      <c r="AC13" s="527"/>
      <c r="AD13" s="527"/>
      <c r="AE13" s="527"/>
      <c r="AF13" s="527"/>
      <c r="AG13" s="527"/>
      <c r="AH13" s="528"/>
      <c r="AI13" s="528"/>
      <c r="AJ13" s="518"/>
      <c r="AX13" s="521"/>
      <c r="AY13" s="521"/>
      <c r="AZ13" s="520"/>
      <c r="BA13" s="520"/>
      <c r="BB13" s="520"/>
      <c r="BC13" s="520"/>
      <c r="BD13" s="521"/>
      <c r="BE13" s="522"/>
      <c r="BF13" s="522"/>
      <c r="BG13" s="522"/>
      <c r="BH13" s="522"/>
      <c r="BI13" s="522"/>
      <c r="BJ13" s="522"/>
      <c r="BK13" s="522"/>
      <c r="BL13" s="523"/>
      <c r="BM13" s="523"/>
      <c r="BN13" s="521"/>
    </row>
    <row r="14" spans="1:66" ht="20.100000000000001" customHeight="1">
      <c r="A14" s="518"/>
      <c r="C14" s="518"/>
      <c r="D14" s="518"/>
      <c r="E14" s="518"/>
      <c r="F14" s="550"/>
      <c r="G14" s="551"/>
      <c r="H14" s="551"/>
      <c r="I14" s="551"/>
      <c r="J14" s="551"/>
      <c r="K14" s="551"/>
      <c r="L14" s="551"/>
      <c r="M14" s="551"/>
      <c r="N14" s="551"/>
      <c r="O14" s="551"/>
      <c r="P14" s="551"/>
      <c r="Q14" s="551"/>
      <c r="R14" s="551"/>
      <c r="S14" s="551"/>
      <c r="T14" s="551"/>
      <c r="U14" s="551"/>
      <c r="V14" s="551"/>
      <c r="W14" s="551"/>
      <c r="X14" s="551"/>
      <c r="Y14" s="552"/>
      <c r="Z14" s="518"/>
      <c r="AA14" s="518"/>
      <c r="AB14" s="518"/>
      <c r="AC14" s="518"/>
      <c r="AD14" s="518"/>
      <c r="AE14" s="518"/>
      <c r="AF14" s="518"/>
      <c r="AG14" s="518"/>
      <c r="AH14" s="518"/>
      <c r="AI14" s="518"/>
      <c r="AJ14" s="518"/>
      <c r="AX14" s="521"/>
      <c r="AY14" s="521"/>
      <c r="AZ14" s="520"/>
      <c r="BA14" s="520"/>
      <c r="BB14" s="520"/>
      <c r="BC14" s="520"/>
      <c r="BD14" s="521"/>
      <c r="BE14" s="522"/>
      <c r="BF14" s="522"/>
      <c r="BG14" s="522"/>
      <c r="BH14" s="522"/>
      <c r="BI14" s="522"/>
      <c r="BJ14" s="522"/>
      <c r="BK14" s="522"/>
      <c r="BL14" s="523"/>
      <c r="BM14" s="523"/>
      <c r="BN14" s="521"/>
    </row>
    <row r="15" spans="1:66" ht="20.100000000000001" customHeight="1" thickBot="1">
      <c r="A15" s="518"/>
      <c r="B15" s="529"/>
      <c r="C15" s="546" t="str">
        <f>IF(ISNUMBER(F13),"年間","")</f>
        <v/>
      </c>
      <c r="D15" s="546"/>
      <c r="E15" s="546"/>
      <c r="F15" s="553"/>
      <c r="G15" s="554"/>
      <c r="H15" s="554"/>
      <c r="I15" s="554"/>
      <c r="J15" s="554"/>
      <c r="K15" s="554"/>
      <c r="L15" s="554"/>
      <c r="M15" s="554"/>
      <c r="N15" s="554"/>
      <c r="O15" s="554"/>
      <c r="P15" s="554"/>
      <c r="Q15" s="554"/>
      <c r="R15" s="554"/>
      <c r="S15" s="554"/>
      <c r="T15" s="554"/>
      <c r="U15" s="554"/>
      <c r="V15" s="554"/>
      <c r="W15" s="554"/>
      <c r="X15" s="554"/>
      <c r="Y15" s="555"/>
      <c r="Z15" s="534" t="str">
        <f>IF(ISNUMBER(F13),"のコスト削減の可能性があります。","")</f>
        <v/>
      </c>
      <c r="AA15" s="534"/>
      <c r="AB15" s="534"/>
      <c r="AC15" s="534"/>
      <c r="AD15" s="534"/>
      <c r="AE15" s="534"/>
      <c r="AF15" s="534"/>
      <c r="AG15" s="534"/>
      <c r="AH15" s="534"/>
      <c r="AI15" s="534"/>
      <c r="AJ15" s="534"/>
      <c r="AX15" s="521"/>
      <c r="AY15" s="521"/>
      <c r="AZ15" s="520"/>
      <c r="BA15" s="520"/>
      <c r="BB15" s="520"/>
      <c r="BC15" s="520"/>
      <c r="BD15" s="521"/>
      <c r="BE15" s="522"/>
      <c r="BF15" s="522"/>
      <c r="BG15" s="522"/>
      <c r="BH15" s="522"/>
      <c r="BI15" s="522"/>
      <c r="BJ15" s="522"/>
      <c r="BK15" s="522"/>
      <c r="BL15" s="523"/>
      <c r="BM15" s="523"/>
      <c r="BN15" s="521"/>
    </row>
    <row r="16" spans="1:66" ht="20.100000000000001" customHeight="1" thickTop="1">
      <c r="A16" s="518"/>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18"/>
    </row>
    <row r="17" spans="1:37" ht="20.100000000000001" customHeight="1">
      <c r="A17" s="518"/>
      <c r="C17" s="535" t="str">
        <f>IFERROR(低炭素ベンチマーク計算!B38,"")</f>
        <v/>
      </c>
      <c r="D17" s="536"/>
      <c r="E17" s="536"/>
      <c r="F17" s="536"/>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7"/>
      <c r="AJ17" s="518"/>
    </row>
    <row r="18" spans="1:37" ht="20.100000000000001" customHeight="1">
      <c r="A18" s="518"/>
      <c r="B18" s="530"/>
      <c r="C18" s="538"/>
      <c r="D18" s="539"/>
      <c r="E18" s="539"/>
      <c r="F18" s="539"/>
      <c r="G18" s="539"/>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c r="AG18" s="539"/>
      <c r="AH18" s="539"/>
      <c r="AI18" s="540"/>
      <c r="AJ18" s="518"/>
    </row>
    <row r="19" spans="1:37" ht="20.100000000000001" customHeight="1">
      <c r="A19" s="518"/>
      <c r="B19" s="530"/>
      <c r="C19" s="541"/>
      <c r="D19" s="542"/>
      <c r="E19" s="542"/>
      <c r="F19" s="542"/>
      <c r="G19" s="542"/>
      <c r="H19" s="542"/>
      <c r="I19" s="542"/>
      <c r="J19" s="542"/>
      <c r="K19" s="542"/>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3"/>
      <c r="AJ19" s="518"/>
    </row>
    <row r="20" spans="1:37" ht="33.75" customHeight="1">
      <c r="A20" s="518"/>
      <c r="C20" s="544" t="s">
        <v>709</v>
      </c>
      <c r="D20" s="544"/>
      <c r="E20" s="544"/>
      <c r="F20" s="544"/>
      <c r="G20" s="544"/>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531"/>
      <c r="AK20" s="531"/>
    </row>
    <row r="21" spans="1:37" ht="33" customHeight="1">
      <c r="A21" s="518"/>
      <c r="B21" s="532"/>
      <c r="C21" s="545" t="s">
        <v>592</v>
      </c>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33"/>
      <c r="AK21" s="533"/>
    </row>
    <row r="22" spans="1:37" ht="20.100000000000001" customHeight="1">
      <c r="A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row>
    <row r="23" spans="1:37" hidden="1">
      <c r="A23" s="518"/>
      <c r="B23" s="518"/>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518"/>
    </row>
    <row r="24" spans="1:37" hidden="1">
      <c r="A24" s="518"/>
      <c r="B24" s="518"/>
      <c r="C24" s="518"/>
      <c r="D24" s="518"/>
      <c r="E24" s="518"/>
      <c r="F24" s="518"/>
      <c r="G24" s="518"/>
      <c r="H24" s="518"/>
      <c r="I24" s="518"/>
      <c r="J24" s="518"/>
      <c r="K24" s="518"/>
      <c r="L24" s="518"/>
      <c r="M24" s="518"/>
      <c r="N24" s="518"/>
      <c r="O24" s="518"/>
      <c r="P24" s="518"/>
      <c r="Q24" s="518"/>
      <c r="R24" s="518"/>
      <c r="S24" s="518"/>
      <c r="T24" s="518"/>
      <c r="U24" s="518"/>
      <c r="V24" s="518"/>
      <c r="W24" s="518"/>
      <c r="X24" s="518"/>
      <c r="Y24" s="518"/>
      <c r="Z24" s="518"/>
      <c r="AA24" s="518"/>
      <c r="AB24" s="518"/>
      <c r="AC24" s="518"/>
      <c r="AD24" s="518"/>
      <c r="AE24" s="518"/>
      <c r="AF24" s="518"/>
      <c r="AG24" s="518"/>
      <c r="AH24" s="518"/>
      <c r="AI24" s="518"/>
      <c r="AJ24" s="518"/>
    </row>
    <row r="25" spans="1:37" hidden="1">
      <c r="A25" s="518"/>
      <c r="B25" s="518"/>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row>
    <row r="26" spans="1:37" hidden="1">
      <c r="A26" s="518"/>
      <c r="B26" s="518"/>
      <c r="C26" s="518"/>
      <c r="D26" s="518"/>
      <c r="E26" s="518"/>
      <c r="F26" s="518"/>
      <c r="G26" s="518"/>
      <c r="H26" s="518"/>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row>
    <row r="27" spans="1:37" hidden="1">
      <c r="A27" s="518"/>
      <c r="C27" s="518"/>
      <c r="D27" s="518"/>
      <c r="E27" s="518"/>
      <c r="F27" s="518"/>
      <c r="G27" s="518"/>
      <c r="H27" s="518"/>
      <c r="I27" s="518"/>
      <c r="J27" s="518"/>
      <c r="K27" s="518"/>
      <c r="L27" s="518"/>
      <c r="M27" s="518"/>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row>
    <row r="28" spans="1:37" hidden="1">
      <c r="A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8"/>
      <c r="AF28" s="518"/>
      <c r="AG28" s="518"/>
      <c r="AH28" s="518"/>
      <c r="AI28" s="518"/>
      <c r="AJ28" s="518"/>
    </row>
    <row r="29" spans="1:37" hidden="1">
      <c r="A29" s="518"/>
      <c r="B29" s="518"/>
      <c r="C29" s="518"/>
      <c r="D29" s="518"/>
      <c r="E29" s="518"/>
      <c r="F29" s="518"/>
      <c r="G29" s="518"/>
      <c r="H29" s="518"/>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8"/>
      <c r="AJ29" s="518"/>
    </row>
    <row r="30" spans="1:37" hidden="1">
      <c r="A30" s="518"/>
      <c r="B30" s="518"/>
      <c r="C30" s="518"/>
      <c r="D30" s="518"/>
      <c r="E30" s="518"/>
      <c r="F30" s="518"/>
      <c r="G30" s="518"/>
      <c r="H30" s="518"/>
      <c r="I30" s="518"/>
      <c r="J30" s="518"/>
      <c r="K30" s="518"/>
      <c r="L30" s="518"/>
      <c r="M30" s="518"/>
      <c r="N30" s="518"/>
      <c r="O30" s="518"/>
      <c r="P30" s="518"/>
      <c r="Q30" s="518"/>
      <c r="R30" s="518"/>
      <c r="S30" s="518"/>
      <c r="T30" s="518"/>
      <c r="U30" s="518"/>
      <c r="V30" s="518"/>
      <c r="W30" s="518"/>
      <c r="X30" s="518"/>
      <c r="Y30" s="518"/>
      <c r="Z30" s="518"/>
      <c r="AA30" s="518"/>
      <c r="AB30" s="518"/>
      <c r="AC30" s="518"/>
      <c r="AD30" s="518"/>
      <c r="AE30" s="518"/>
      <c r="AF30" s="518"/>
      <c r="AG30" s="518"/>
      <c r="AH30" s="518"/>
      <c r="AI30" s="518"/>
      <c r="AJ30" s="518"/>
    </row>
    <row r="31" spans="1:37" hidden="1">
      <c r="A31" s="518"/>
      <c r="B31" s="518"/>
      <c r="C31" s="518"/>
      <c r="D31" s="518"/>
      <c r="E31" s="518"/>
      <c r="F31" s="518"/>
      <c r="G31" s="518"/>
      <c r="H31" s="518"/>
      <c r="I31" s="518"/>
      <c r="J31" s="518"/>
      <c r="K31" s="518"/>
      <c r="L31" s="518"/>
      <c r="M31" s="518"/>
      <c r="N31" s="518"/>
      <c r="O31" s="518"/>
      <c r="P31" s="518"/>
      <c r="Q31" s="518"/>
      <c r="R31" s="518"/>
      <c r="S31" s="518"/>
      <c r="T31" s="518"/>
      <c r="U31" s="518"/>
      <c r="V31" s="518"/>
      <c r="W31" s="518"/>
      <c r="X31" s="518"/>
      <c r="Y31" s="518"/>
      <c r="Z31" s="518"/>
      <c r="AA31" s="518"/>
      <c r="AB31" s="518"/>
      <c r="AC31" s="518"/>
      <c r="AD31" s="518"/>
      <c r="AE31" s="518"/>
      <c r="AF31" s="518"/>
      <c r="AG31" s="518"/>
      <c r="AH31" s="518"/>
      <c r="AI31" s="518"/>
      <c r="AJ31" s="518"/>
    </row>
    <row r="32" spans="1:37" hidden="1">
      <c r="A32" s="518"/>
      <c r="B32" s="518"/>
      <c r="C32" s="518"/>
      <c r="D32" s="518"/>
      <c r="E32" s="518"/>
      <c r="F32" s="518"/>
      <c r="G32" s="518"/>
      <c r="H32" s="518"/>
      <c r="I32" s="518"/>
      <c r="J32" s="518"/>
      <c r="K32" s="518"/>
      <c r="L32" s="518"/>
      <c r="M32" s="518"/>
      <c r="N32" s="518"/>
      <c r="O32" s="518"/>
      <c r="P32" s="518"/>
      <c r="Q32" s="518"/>
      <c r="R32" s="518"/>
      <c r="S32" s="518"/>
      <c r="T32" s="518"/>
      <c r="U32" s="518"/>
      <c r="V32" s="518"/>
      <c r="W32" s="518"/>
      <c r="X32" s="518"/>
      <c r="Y32" s="518"/>
      <c r="Z32" s="518"/>
      <c r="AA32" s="518"/>
      <c r="AB32" s="518"/>
      <c r="AC32" s="518"/>
      <c r="AD32" s="518"/>
      <c r="AE32" s="518"/>
      <c r="AF32" s="518"/>
      <c r="AG32" s="518"/>
      <c r="AH32" s="518"/>
      <c r="AI32" s="518"/>
      <c r="AJ32" s="518"/>
    </row>
    <row r="33" spans="1:36" hidden="1">
      <c r="A33" s="518"/>
      <c r="B33" s="518"/>
      <c r="C33" s="518"/>
      <c r="D33" s="518"/>
      <c r="E33" s="518"/>
      <c r="F33" s="518"/>
      <c r="G33" s="518"/>
      <c r="H33" s="518"/>
      <c r="I33" s="518"/>
      <c r="J33" s="518"/>
      <c r="K33" s="518"/>
      <c r="L33" s="518"/>
      <c r="M33" s="518"/>
      <c r="N33" s="518"/>
      <c r="O33" s="518"/>
      <c r="P33" s="518"/>
      <c r="Q33" s="518"/>
      <c r="R33" s="518"/>
      <c r="S33" s="518"/>
      <c r="T33" s="518"/>
      <c r="U33" s="518"/>
      <c r="V33" s="518"/>
      <c r="W33" s="518"/>
      <c r="X33" s="518"/>
      <c r="Y33" s="518"/>
      <c r="Z33" s="518"/>
      <c r="AA33" s="518"/>
      <c r="AB33" s="518"/>
      <c r="AC33" s="518"/>
      <c r="AD33" s="518"/>
      <c r="AE33" s="518"/>
      <c r="AF33" s="518"/>
      <c r="AG33" s="518"/>
      <c r="AH33" s="518"/>
      <c r="AI33" s="518"/>
      <c r="AJ33" s="518"/>
    </row>
    <row r="34" spans="1:36" hidden="1">
      <c r="A34" s="518"/>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row>
    <row r="35" spans="1:36" hidden="1">
      <c r="A35" s="518"/>
      <c r="B35" s="518"/>
      <c r="C35" s="518"/>
      <c r="D35" s="518"/>
      <c r="E35" s="518"/>
      <c r="F35" s="518"/>
      <c r="G35" s="518"/>
      <c r="H35" s="518"/>
      <c r="I35" s="518"/>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row>
    <row r="36" spans="1:36" hidden="1">
      <c r="A36" s="518"/>
      <c r="B36" s="518"/>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row>
    <row r="37" spans="1:36" hidden="1">
      <c r="A37" s="518"/>
      <c r="B37" s="518"/>
      <c r="C37" s="518"/>
      <c r="D37" s="518"/>
      <c r="E37" s="518"/>
      <c r="F37" s="518"/>
      <c r="G37" s="518"/>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row>
    <row r="38" spans="1:36" hidden="1">
      <c r="A38" s="518"/>
      <c r="B38" s="518"/>
      <c r="C38" s="518"/>
      <c r="D38" s="518"/>
      <c r="E38" s="518"/>
      <c r="F38" s="518"/>
      <c r="G38" s="518"/>
      <c r="H38" s="518"/>
      <c r="I38" s="518"/>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row>
    <row r="39" spans="1:36" hidden="1">
      <c r="A39" s="518"/>
      <c r="B39" s="518"/>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row>
    <row r="40" spans="1:36" hidden="1">
      <c r="A40" s="518"/>
      <c r="B40" s="518"/>
      <c r="C40" s="518"/>
      <c r="D40" s="518"/>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row>
    <row r="41" spans="1:36" hidden="1">
      <c r="A41" s="518"/>
      <c r="B41" s="518"/>
      <c r="C41" s="518"/>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row>
  </sheetData>
  <sheetProtection password="C0C9" sheet="1" objects="1" scenarios="1" selectLockedCells="1"/>
  <mergeCells count="36">
    <mergeCell ref="B8:G8"/>
    <mergeCell ref="H8:Q8"/>
    <mergeCell ref="S9:X9"/>
    <mergeCell ref="Y9:AG9"/>
    <mergeCell ref="B9:G10"/>
    <mergeCell ref="H9:O10"/>
    <mergeCell ref="P9:Q10"/>
    <mergeCell ref="S10:X10"/>
    <mergeCell ref="P12:Q12"/>
    <mergeCell ref="Y10:AG10"/>
    <mergeCell ref="S8:X8"/>
    <mergeCell ref="Y8:AG8"/>
    <mergeCell ref="AH8:AJ8"/>
    <mergeCell ref="AH9:AJ9"/>
    <mergeCell ref="AH10:AJ10"/>
    <mergeCell ref="AE1:AJ1"/>
    <mergeCell ref="F3:AK3"/>
    <mergeCell ref="F4:AK4"/>
    <mergeCell ref="AH6:AJ6"/>
    <mergeCell ref="A2:XFD2"/>
    <mergeCell ref="B6:G7"/>
    <mergeCell ref="H6:Q7"/>
    <mergeCell ref="S6:X6"/>
    <mergeCell ref="Y6:AG6"/>
    <mergeCell ref="S7:X7"/>
    <mergeCell ref="Y7:AG7"/>
    <mergeCell ref="AH7:AJ7"/>
    <mergeCell ref="B1:K1"/>
    <mergeCell ref="O1:W1"/>
    <mergeCell ref="A3:E3"/>
    <mergeCell ref="Z15:AJ15"/>
    <mergeCell ref="C17:AI19"/>
    <mergeCell ref="C20:AI20"/>
    <mergeCell ref="C21:AI21"/>
    <mergeCell ref="C15:E15"/>
    <mergeCell ref="F13:Y15"/>
  </mergeCells>
  <phoneticPr fontId="4"/>
  <conditionalFormatting sqref="F13">
    <cfRule type="cellIs" dxfId="69" priority="2" operator="greaterThan">
      <formula>0</formula>
    </cfRule>
  </conditionalFormatting>
  <dataValidations count="4">
    <dataValidation type="whole" operator="greaterThanOrEqual" allowBlank="1" showInputMessage="1" showErrorMessage="1" sqref="BE6:BL8 BE11:BK15">
      <formula1>0</formula1>
    </dataValidation>
    <dataValidation type="whole" operator="greaterThanOrEqual" allowBlank="1" showErrorMessage="1" sqref="Y6:AG7">
      <formula1>0</formula1>
    </dataValidation>
    <dataValidation type="decimal" operator="greaterThanOrEqual" allowBlank="1" showErrorMessage="1" sqref="H9:O10">
      <formula1>1</formula1>
    </dataValidation>
    <dataValidation type="decimal" operator="greaterThanOrEqual" allowBlank="1" showErrorMessage="1" sqref="Y8:AG8 Y9:AG9">
      <formula1>0</formula1>
    </dataValidation>
  </dataValidations>
  <pageMargins left="0.70866141732283472" right="0.70866141732283472" top="0.74803149606299213" bottom="0.74803149606299213" header="0.31496062992125984" footer="0.31496062992125984"/>
  <pageSetup paperSize="9" scale="66" orientation="portrait" r:id="rId1"/>
  <extLst>
    <ext xmlns:x14="http://schemas.microsoft.com/office/spreadsheetml/2009/9/main" uri="{78C0D931-6437-407d-A8EE-F0AAD7539E65}">
      <x14:conditionalFormattings>
        <x14:conditionalFormatting xmlns:xm="http://schemas.microsoft.com/office/excel/2006/main">
          <x14:cfRule type="expression" priority="4" id="{789CB78C-2297-434E-A255-C72D2A4B19CA}">
            <xm:f>$H$8&lt;SUM(対策チェック!$J$9:$Q$12)</xm:f>
            <x14:dxf>
              <fill>
                <patternFill>
                  <bgColor rgb="FFFF0000"/>
                </patternFill>
              </fill>
            </x14:dxf>
          </x14:cfRule>
          <xm:sqref>H9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2:L10"/>
  <sheetViews>
    <sheetView showGridLines="0" topLeftCell="A4" zoomScale="85" zoomScaleNormal="85" workbookViewId="0">
      <selection activeCell="F19" sqref="F19"/>
    </sheetView>
  </sheetViews>
  <sheetFormatPr defaultRowHeight="18.75"/>
  <cols>
    <col min="2" max="2" width="14.25" customWidth="1"/>
    <col min="3" max="3" width="19.375" customWidth="1"/>
    <col min="5" max="5" width="12.125" customWidth="1"/>
    <col min="6" max="6" width="11.375" customWidth="1"/>
    <col min="7" max="7" width="39" customWidth="1"/>
    <col min="8" max="8" width="15.125" customWidth="1"/>
    <col min="9" max="9" width="12.75" bestFit="1" customWidth="1"/>
    <col min="10" max="10" width="12.875" customWidth="1"/>
    <col min="11" max="11" width="19.875" customWidth="1"/>
    <col min="12" max="12" width="13.875" customWidth="1"/>
  </cols>
  <sheetData>
    <row r="2" spans="2:12">
      <c r="B2" t="s">
        <v>73</v>
      </c>
    </row>
    <row r="3" spans="2:12" ht="37.5">
      <c r="B3" s="59" t="s">
        <v>74</v>
      </c>
      <c r="C3" s="4" t="s">
        <v>103</v>
      </c>
    </row>
    <row r="4" spans="2:12">
      <c r="B4" s="77">
        <v>0.48899999999999999</v>
      </c>
      <c r="C4" s="4" t="s">
        <v>102</v>
      </c>
    </row>
    <row r="6" spans="2:12">
      <c r="B6" s="852" t="s">
        <v>75</v>
      </c>
      <c r="C6" s="877" t="s">
        <v>76</v>
      </c>
      <c r="D6" s="877"/>
      <c r="E6" s="877"/>
      <c r="F6" s="877"/>
      <c r="G6" s="877"/>
      <c r="H6" s="878" t="s">
        <v>77</v>
      </c>
      <c r="I6" s="878"/>
      <c r="J6" s="878"/>
      <c r="K6" s="878"/>
      <c r="L6" s="878"/>
    </row>
    <row r="7" spans="2:12" ht="29.25" customHeight="1">
      <c r="B7" s="852"/>
      <c r="C7" s="879" t="s">
        <v>78</v>
      </c>
      <c r="D7" s="880"/>
      <c r="E7" s="881" t="s">
        <v>79</v>
      </c>
      <c r="F7" s="882"/>
      <c r="G7" s="60" t="s">
        <v>80</v>
      </c>
      <c r="H7" s="73" t="s">
        <v>81</v>
      </c>
      <c r="I7" s="62" t="s">
        <v>82</v>
      </c>
      <c r="J7" s="61" t="s">
        <v>83</v>
      </c>
      <c r="K7" s="62" t="s">
        <v>82</v>
      </c>
      <c r="L7" s="68" t="s">
        <v>84</v>
      </c>
    </row>
    <row r="8" spans="2:12" ht="110.25">
      <c r="B8" s="4" t="s">
        <v>33</v>
      </c>
      <c r="C8" s="63">
        <v>17.22</v>
      </c>
      <c r="D8" s="4" t="s">
        <v>85</v>
      </c>
      <c r="E8" s="4">
        <v>3.6</v>
      </c>
      <c r="F8" s="4" t="s">
        <v>86</v>
      </c>
      <c r="G8" s="64" t="s">
        <v>525</v>
      </c>
      <c r="H8" s="65">
        <f>C8/E8*1000</f>
        <v>4783.333333333333</v>
      </c>
      <c r="I8" s="66" t="s">
        <v>87</v>
      </c>
      <c r="J8" s="67">
        <v>140.27777777777777</v>
      </c>
      <c r="K8" s="68" t="s">
        <v>134</v>
      </c>
      <c r="L8" s="69">
        <f>H8/J8</f>
        <v>34.099009900990097</v>
      </c>
    </row>
    <row r="9" spans="2:12" ht="63">
      <c r="B9" s="70" t="s">
        <v>34</v>
      </c>
      <c r="C9" s="63">
        <v>106.48</v>
      </c>
      <c r="D9" s="70" t="s">
        <v>88</v>
      </c>
      <c r="E9" s="70">
        <v>45</v>
      </c>
      <c r="F9" s="70" t="s">
        <v>89</v>
      </c>
      <c r="G9" s="64" t="s">
        <v>526</v>
      </c>
      <c r="H9" s="65">
        <f>C9/E9*1000</f>
        <v>2366.2222222222226</v>
      </c>
      <c r="I9" s="71" t="s">
        <v>90</v>
      </c>
      <c r="J9" s="206">
        <f>ROUND(0.0136*44/12*1000,1)</f>
        <v>49.9</v>
      </c>
      <c r="K9" s="71" t="s">
        <v>296</v>
      </c>
      <c r="L9" s="69">
        <f>H9/J9</f>
        <v>47.419283010465385</v>
      </c>
    </row>
    <row r="10" spans="2:12" ht="126">
      <c r="B10" s="70" t="s">
        <v>91</v>
      </c>
      <c r="C10" s="63">
        <v>74.3</v>
      </c>
      <c r="D10" s="4" t="s">
        <v>92</v>
      </c>
      <c r="E10" s="4">
        <v>39.1</v>
      </c>
      <c r="F10" s="4" t="s">
        <v>93</v>
      </c>
      <c r="G10" s="64" t="s">
        <v>527</v>
      </c>
      <c r="H10" s="65">
        <f>C10/E10*1000</f>
        <v>1900.2557544757033</v>
      </c>
      <c r="I10" s="72" t="s">
        <v>94</v>
      </c>
      <c r="J10" s="205">
        <v>69.3</v>
      </c>
      <c r="K10" s="72" t="s">
        <v>95</v>
      </c>
      <c r="L10" s="69">
        <f>H10/J10</f>
        <v>27.420717957802356</v>
      </c>
    </row>
  </sheetData>
  <mergeCells count="5">
    <mergeCell ref="B6:B7"/>
    <mergeCell ref="C6:G6"/>
    <mergeCell ref="H6:L6"/>
    <mergeCell ref="C7:D7"/>
    <mergeCell ref="E7:F7"/>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E165"/>
  <sheetViews>
    <sheetView showGridLines="0" showRowColHeaders="0" zoomScaleNormal="100" zoomScaleSheetLayoutView="85" workbookViewId="0">
      <pane ySplit="2" topLeftCell="A3" activePane="bottomLeft" state="frozen"/>
      <selection pane="bottomLeft" activeCell="J7" sqref="J7:S7"/>
    </sheetView>
  </sheetViews>
  <sheetFormatPr defaultColWidth="0" defaultRowHeight="20.100000000000001" customHeight="1" zeroHeight="1"/>
  <cols>
    <col min="1" max="1" width="2.625" style="96" customWidth="1"/>
    <col min="2" max="15" width="3.25" style="96" customWidth="1"/>
    <col min="16" max="16" width="2.75" style="96" customWidth="1"/>
    <col min="17" max="32" width="3.25" style="96" customWidth="1"/>
    <col min="33" max="33" width="0.625" style="96" customWidth="1"/>
    <col min="34" max="36" width="3.25" style="96" customWidth="1"/>
    <col min="37" max="37" width="3" style="96" customWidth="1"/>
    <col min="38" max="42" width="3.25" style="96" hidden="1" customWidth="1"/>
    <col min="43" max="43" width="3.125" style="96" hidden="1" customWidth="1"/>
    <col min="44" max="44" width="3.25" style="96" hidden="1" customWidth="1"/>
    <col min="45" max="45" width="7.25" style="96" hidden="1" customWidth="1"/>
    <col min="46" max="46" width="3.25" style="96" hidden="1" customWidth="1"/>
    <col min="47" max="47" width="3.25" style="96" customWidth="1"/>
    <col min="48" max="83" width="3.25" style="96" hidden="1" customWidth="1"/>
    <col min="84" max="16384" width="9" style="96" hidden="1"/>
  </cols>
  <sheetData>
    <row r="1" spans="1:74" s="327" customFormat="1" ht="27" customHeight="1">
      <c r="A1" s="362"/>
      <c r="B1" s="363" t="str">
        <f>ベンチマーク比較!$B$1</f>
        <v>チューニング対策簡易診断ツール</v>
      </c>
      <c r="C1" s="362"/>
      <c r="D1" s="362"/>
      <c r="E1" s="362"/>
      <c r="F1" s="362"/>
      <c r="G1" s="362"/>
      <c r="H1" s="362"/>
      <c r="I1" s="362"/>
      <c r="J1" s="362"/>
      <c r="K1" s="362"/>
      <c r="L1" s="362"/>
      <c r="M1" s="362"/>
      <c r="N1" s="362"/>
      <c r="O1" s="362"/>
      <c r="P1" s="770" t="s">
        <v>642</v>
      </c>
      <c r="Q1" s="770"/>
      <c r="R1" s="770"/>
      <c r="S1" s="770"/>
      <c r="T1" s="770"/>
      <c r="U1" s="770"/>
      <c r="V1" s="770"/>
      <c r="W1" s="770"/>
      <c r="X1" s="362"/>
      <c r="Y1" s="362"/>
      <c r="Z1" s="362"/>
      <c r="AA1" s="362"/>
      <c r="AB1" s="362"/>
      <c r="AC1" s="362"/>
      <c r="AD1" s="362"/>
      <c r="AE1" s="362"/>
      <c r="AF1" s="362"/>
      <c r="AG1" s="362"/>
      <c r="AH1" s="362"/>
      <c r="AI1" s="362"/>
      <c r="AJ1" s="362"/>
      <c r="AK1" s="364" t="str">
        <f>"（"&amp;用途&amp;"用）"</f>
        <v>（事務所用）</v>
      </c>
      <c r="AL1" s="362"/>
      <c r="AM1" s="362"/>
      <c r="AN1" s="330"/>
      <c r="AO1" s="330"/>
      <c r="AP1" s="330"/>
      <c r="AQ1" s="330"/>
      <c r="AR1" s="330"/>
      <c r="AS1" s="330"/>
      <c r="AT1" s="330"/>
      <c r="AU1" s="362"/>
    </row>
    <row r="2" spans="1:74" ht="39" customHeight="1">
      <c r="A2" s="365"/>
      <c r="B2" s="653" t="s">
        <v>485</v>
      </c>
      <c r="C2" s="653"/>
      <c r="D2" s="653"/>
      <c r="E2" s="653"/>
      <c r="F2" s="653"/>
      <c r="G2" s="653"/>
      <c r="H2" s="640" t="s">
        <v>643</v>
      </c>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c r="AL2" s="365"/>
      <c r="AM2" s="366"/>
      <c r="AU2" s="752"/>
      <c r="AV2" s="641"/>
      <c r="AW2" s="641"/>
      <c r="AX2" s="641"/>
      <c r="AY2" s="641"/>
      <c r="AZ2" s="641"/>
      <c r="BA2" s="641"/>
      <c r="BB2" s="641"/>
      <c r="BC2" s="641"/>
      <c r="BD2" s="641"/>
      <c r="BE2" s="641"/>
      <c r="BF2" s="641"/>
      <c r="BG2" s="641"/>
      <c r="BH2" s="641"/>
      <c r="BI2" s="641"/>
      <c r="BJ2" s="641"/>
      <c r="BK2" s="641"/>
      <c r="BL2" s="641"/>
      <c r="BM2" s="641"/>
      <c r="BN2" s="641"/>
      <c r="BO2" s="641"/>
      <c r="BP2" s="641"/>
      <c r="BQ2" s="641"/>
      <c r="BR2" s="641"/>
      <c r="BS2" s="641"/>
      <c r="BT2" s="641"/>
      <c r="BU2" s="641"/>
      <c r="BV2" s="641"/>
    </row>
    <row r="3" spans="1:74" ht="28.5" customHeight="1" thickBot="1">
      <c r="B3" s="467" t="s">
        <v>116</v>
      </c>
      <c r="C3" s="468" t="s">
        <v>117</v>
      </c>
      <c r="D3" s="467"/>
      <c r="E3" s="323"/>
      <c r="F3" s="323"/>
      <c r="G3" s="323"/>
      <c r="H3" s="323"/>
      <c r="I3" s="323"/>
      <c r="J3" s="323"/>
      <c r="K3" s="323"/>
      <c r="L3" s="323"/>
      <c r="M3" s="323"/>
      <c r="N3" s="323"/>
      <c r="O3" s="323"/>
      <c r="P3" s="323"/>
      <c r="Q3" s="323"/>
      <c r="R3" s="323"/>
      <c r="S3" s="323"/>
      <c r="U3" s="467" t="s">
        <v>115</v>
      </c>
      <c r="V3" s="468" t="s">
        <v>315</v>
      </c>
      <c r="W3" s="323"/>
      <c r="X3" s="323"/>
      <c r="Y3" s="323"/>
      <c r="Z3" s="323"/>
      <c r="AA3" s="323"/>
      <c r="AB3" s="323"/>
      <c r="AC3" s="323"/>
      <c r="AD3" s="323"/>
      <c r="AE3" s="323"/>
      <c r="AF3" s="323"/>
      <c r="AG3" s="323"/>
      <c r="AH3" s="323"/>
      <c r="AI3" s="323"/>
      <c r="AJ3" s="323"/>
      <c r="AK3" s="323"/>
    </row>
    <row r="4" spans="1:74" ht="20.100000000000001" customHeight="1">
      <c r="A4" s="324"/>
      <c r="B4" s="626" t="s">
        <v>110</v>
      </c>
      <c r="C4" s="627"/>
      <c r="D4" s="627"/>
      <c r="E4" s="627"/>
      <c r="F4" s="627"/>
      <c r="G4" s="627"/>
      <c r="H4" s="627"/>
      <c r="I4" s="628"/>
      <c r="J4" s="634" t="str">
        <f>IF(ベンチマーク比較!H6="","",ベンチマーク比較!H6)</f>
        <v/>
      </c>
      <c r="K4" s="635"/>
      <c r="L4" s="635"/>
      <c r="M4" s="635"/>
      <c r="N4" s="635"/>
      <c r="O4" s="635"/>
      <c r="P4" s="635"/>
      <c r="Q4" s="635"/>
      <c r="R4" s="635"/>
      <c r="S4" s="636"/>
      <c r="T4" s="325"/>
      <c r="U4" s="762" t="s">
        <v>489</v>
      </c>
      <c r="V4" s="763"/>
      <c r="W4" s="763"/>
      <c r="X4" s="763"/>
      <c r="Y4" s="763"/>
      <c r="Z4" s="763"/>
      <c r="AA4" s="763"/>
      <c r="AB4" s="763"/>
      <c r="AC4" s="763"/>
      <c r="AD4" s="763"/>
      <c r="AE4" s="763"/>
      <c r="AF4" s="763"/>
      <c r="AG4" s="764"/>
      <c r="AH4" s="642"/>
      <c r="AI4" s="643"/>
      <c r="AJ4" s="643"/>
      <c r="AK4" s="644"/>
      <c r="AL4" s="99"/>
      <c r="AT4" s="97"/>
      <c r="AU4" s="97"/>
    </row>
    <row r="5" spans="1:74" ht="20.100000000000001" customHeight="1" thickBot="1">
      <c r="A5" s="324"/>
      <c r="B5" s="629"/>
      <c r="C5" s="630"/>
      <c r="D5" s="630"/>
      <c r="E5" s="630"/>
      <c r="F5" s="630"/>
      <c r="G5" s="630"/>
      <c r="H5" s="630"/>
      <c r="I5" s="631"/>
      <c r="J5" s="637"/>
      <c r="K5" s="638"/>
      <c r="L5" s="638"/>
      <c r="M5" s="638"/>
      <c r="N5" s="638"/>
      <c r="O5" s="638"/>
      <c r="P5" s="638"/>
      <c r="Q5" s="638"/>
      <c r="R5" s="638"/>
      <c r="S5" s="639"/>
      <c r="T5" s="326"/>
      <c r="U5" s="645" t="s">
        <v>487</v>
      </c>
      <c r="V5" s="646"/>
      <c r="W5" s="646"/>
      <c r="X5" s="646"/>
      <c r="Y5" s="646"/>
      <c r="Z5" s="646"/>
      <c r="AA5" s="646"/>
      <c r="AB5" s="646"/>
      <c r="AC5" s="646"/>
      <c r="AD5" s="646"/>
      <c r="AE5" s="646"/>
      <c r="AF5" s="646"/>
      <c r="AG5" s="647"/>
      <c r="AH5" s="619"/>
      <c r="AI5" s="619"/>
      <c r="AJ5" s="619"/>
      <c r="AK5" s="620"/>
      <c r="AL5" s="99"/>
      <c r="AT5" s="97"/>
      <c r="AU5" s="97"/>
    </row>
    <row r="6" spans="1:74" ht="20.100000000000001" customHeight="1" thickTop="1">
      <c r="A6" s="324"/>
      <c r="B6" s="632" t="s">
        <v>111</v>
      </c>
      <c r="C6" s="633"/>
      <c r="D6" s="633"/>
      <c r="E6" s="633"/>
      <c r="F6" s="633"/>
      <c r="G6" s="633"/>
      <c r="H6" s="633"/>
      <c r="I6" s="633"/>
      <c r="J6" s="623" t="str">
        <f>用途</f>
        <v>事務所</v>
      </c>
      <c r="K6" s="624"/>
      <c r="L6" s="624"/>
      <c r="M6" s="624"/>
      <c r="N6" s="624"/>
      <c r="O6" s="624"/>
      <c r="P6" s="624"/>
      <c r="Q6" s="624"/>
      <c r="R6" s="624"/>
      <c r="S6" s="625"/>
      <c r="T6" s="427"/>
      <c r="U6" s="429"/>
      <c r="V6" s="189"/>
      <c r="W6" s="189"/>
      <c r="X6" s="189"/>
      <c r="Y6" s="189"/>
      <c r="Z6" s="189"/>
      <c r="AA6" s="190"/>
      <c r="AB6" s="190"/>
      <c r="AC6" s="190"/>
      <c r="AD6" s="190"/>
      <c r="AE6" s="190"/>
      <c r="AF6" s="190"/>
      <c r="AG6" s="190"/>
      <c r="AH6" s="190"/>
      <c r="AI6" s="190"/>
      <c r="AJ6" s="191"/>
      <c r="AK6" s="367" t="s">
        <v>343</v>
      </c>
      <c r="AL6" s="99"/>
      <c r="AT6" s="97"/>
      <c r="AU6" s="97"/>
    </row>
    <row r="7" spans="1:74" ht="20.100000000000001" customHeight="1">
      <c r="A7" s="324"/>
      <c r="B7" s="632" t="s">
        <v>36</v>
      </c>
      <c r="C7" s="633"/>
      <c r="D7" s="633"/>
      <c r="E7" s="633"/>
      <c r="F7" s="633"/>
      <c r="G7" s="633"/>
      <c r="H7" s="633"/>
      <c r="I7" s="633"/>
      <c r="J7" s="668" t="s">
        <v>513</v>
      </c>
      <c r="K7" s="669"/>
      <c r="L7" s="669"/>
      <c r="M7" s="669"/>
      <c r="N7" s="669"/>
      <c r="O7" s="669"/>
      <c r="P7" s="669"/>
      <c r="Q7" s="669"/>
      <c r="R7" s="669"/>
      <c r="S7" s="670"/>
      <c r="T7" s="428"/>
      <c r="U7" s="450" t="s">
        <v>634</v>
      </c>
      <c r="V7" s="440"/>
      <c r="W7" s="440"/>
      <c r="X7" s="440"/>
      <c r="Y7" s="440"/>
      <c r="Z7" s="440"/>
      <c r="AA7" s="440"/>
      <c r="AB7" s="440"/>
      <c r="AC7" s="440"/>
      <c r="AD7" s="440"/>
      <c r="AE7" s="440"/>
      <c r="AF7" s="440"/>
      <c r="AG7" s="440"/>
      <c r="AH7" s="440"/>
      <c r="AI7" s="440"/>
      <c r="AJ7" s="440"/>
      <c r="AK7" s="440"/>
      <c r="AL7" s="99"/>
      <c r="AT7" s="97"/>
      <c r="AU7" s="97"/>
    </row>
    <row r="8" spans="1:74" ht="18" customHeight="1">
      <c r="A8" s="97"/>
      <c r="B8" s="632" t="s">
        <v>602</v>
      </c>
      <c r="C8" s="633"/>
      <c r="D8" s="633"/>
      <c r="E8" s="633"/>
      <c r="F8" s="633"/>
      <c r="G8" s="633"/>
      <c r="H8" s="633"/>
      <c r="I8" s="633"/>
      <c r="J8" s="656">
        <f>ベンチマーク比較!H9</f>
        <v>0</v>
      </c>
      <c r="K8" s="657"/>
      <c r="L8" s="657"/>
      <c r="M8" s="657"/>
      <c r="N8" s="657"/>
      <c r="O8" s="657"/>
      <c r="P8" s="657"/>
      <c r="Q8" s="657"/>
      <c r="R8" s="648" t="s">
        <v>603</v>
      </c>
      <c r="S8" s="649"/>
      <c r="T8" s="441"/>
      <c r="U8" s="782" t="str">
        <f>選択肢パターン!B4</f>
        <v>実施済</v>
      </c>
      <c r="V8" s="780"/>
      <c r="W8" s="780"/>
      <c r="X8" s="781"/>
      <c r="Y8" s="780" t="s">
        <v>637</v>
      </c>
      <c r="Z8" s="780"/>
      <c r="AA8" s="780"/>
      <c r="AB8" s="780"/>
      <c r="AC8" s="780"/>
      <c r="AD8" s="780"/>
      <c r="AE8" s="780"/>
      <c r="AF8" s="780"/>
      <c r="AG8" s="780"/>
      <c r="AH8" s="780"/>
      <c r="AI8" s="780"/>
      <c r="AJ8" s="780"/>
      <c r="AK8" s="781"/>
      <c r="AL8" s="99"/>
      <c r="AT8" s="97"/>
      <c r="AU8" s="97"/>
    </row>
    <row r="9" spans="1:74" ht="20.100000000000001" customHeight="1">
      <c r="A9" s="97"/>
      <c r="B9" s="650" t="s">
        <v>297</v>
      </c>
      <c r="C9" s="662" t="s">
        <v>294</v>
      </c>
      <c r="D9" s="663"/>
      <c r="E9" s="663"/>
      <c r="F9" s="663"/>
      <c r="G9" s="663"/>
      <c r="H9" s="663"/>
      <c r="I9" s="663"/>
      <c r="J9" s="658"/>
      <c r="K9" s="658"/>
      <c r="L9" s="658"/>
      <c r="M9" s="658"/>
      <c r="N9" s="658"/>
      <c r="O9" s="658"/>
      <c r="P9" s="658"/>
      <c r="Q9" s="659"/>
      <c r="R9" s="651" t="s">
        <v>603</v>
      </c>
      <c r="S9" s="652"/>
      <c r="T9" s="441"/>
      <c r="U9" s="782" t="str">
        <f>選択肢パターン!C4</f>
        <v>過半で実施済</v>
      </c>
      <c r="V9" s="780"/>
      <c r="W9" s="780"/>
      <c r="X9" s="781"/>
      <c r="Y9" s="778" t="s">
        <v>638</v>
      </c>
      <c r="Z9" s="778"/>
      <c r="AA9" s="778"/>
      <c r="AB9" s="778"/>
      <c r="AC9" s="778"/>
      <c r="AD9" s="778"/>
      <c r="AE9" s="778"/>
      <c r="AF9" s="778"/>
      <c r="AG9" s="778"/>
      <c r="AH9" s="778"/>
      <c r="AI9" s="778"/>
      <c r="AJ9" s="778"/>
      <c r="AK9" s="779"/>
      <c r="AL9" s="99"/>
    </row>
    <row r="10" spans="1:74" ht="20.100000000000001" customHeight="1">
      <c r="A10" s="97"/>
      <c r="B10" s="650"/>
      <c r="C10" s="772" t="s">
        <v>320</v>
      </c>
      <c r="D10" s="773"/>
      <c r="E10" s="773"/>
      <c r="F10" s="773"/>
      <c r="G10" s="773"/>
      <c r="H10" s="773"/>
      <c r="I10" s="773"/>
      <c r="J10" s="658"/>
      <c r="K10" s="658"/>
      <c r="L10" s="658"/>
      <c r="M10" s="658"/>
      <c r="N10" s="658"/>
      <c r="O10" s="658"/>
      <c r="P10" s="658"/>
      <c r="Q10" s="659"/>
      <c r="R10" s="651" t="s">
        <v>603</v>
      </c>
      <c r="S10" s="652"/>
      <c r="T10" s="441"/>
      <c r="U10" s="782" t="str">
        <f>選択肢パターン!D4</f>
        <v>一部実施済</v>
      </c>
      <c r="V10" s="780"/>
      <c r="W10" s="780"/>
      <c r="X10" s="781"/>
      <c r="Y10" s="780" t="s">
        <v>635</v>
      </c>
      <c r="Z10" s="780"/>
      <c r="AA10" s="780"/>
      <c r="AB10" s="780"/>
      <c r="AC10" s="780"/>
      <c r="AD10" s="780"/>
      <c r="AE10" s="780"/>
      <c r="AF10" s="780"/>
      <c r="AG10" s="780"/>
      <c r="AH10" s="780"/>
      <c r="AI10" s="780"/>
      <c r="AJ10" s="780"/>
      <c r="AK10" s="781"/>
      <c r="AL10" s="99"/>
    </row>
    <row r="11" spans="1:74" ht="20.100000000000001" customHeight="1">
      <c r="A11" s="97"/>
      <c r="B11" s="650"/>
      <c r="C11" s="662" t="s">
        <v>488</v>
      </c>
      <c r="D11" s="663"/>
      <c r="E11" s="663"/>
      <c r="F11" s="663"/>
      <c r="G11" s="663"/>
      <c r="H11" s="663"/>
      <c r="I11" s="663"/>
      <c r="J11" s="658"/>
      <c r="K11" s="658"/>
      <c r="L11" s="658"/>
      <c r="M11" s="658"/>
      <c r="N11" s="658"/>
      <c r="O11" s="658"/>
      <c r="P11" s="658"/>
      <c r="Q11" s="659"/>
      <c r="R11" s="651" t="s">
        <v>603</v>
      </c>
      <c r="S11" s="652"/>
      <c r="T11" s="441"/>
      <c r="U11" s="782" t="str">
        <f>選択肢パターン!E4</f>
        <v>未実施</v>
      </c>
      <c r="V11" s="780"/>
      <c r="W11" s="780"/>
      <c r="X11" s="781"/>
      <c r="Y11" s="780" t="s">
        <v>636</v>
      </c>
      <c r="Z11" s="780"/>
      <c r="AA11" s="780"/>
      <c r="AB11" s="780"/>
      <c r="AC11" s="780"/>
      <c r="AD11" s="780"/>
      <c r="AE11" s="780"/>
      <c r="AF11" s="780"/>
      <c r="AG11" s="780"/>
      <c r="AH11" s="780"/>
      <c r="AI11" s="780"/>
      <c r="AJ11" s="780"/>
      <c r="AK11" s="781"/>
      <c r="AL11" s="99"/>
    </row>
    <row r="12" spans="1:74" ht="20.100000000000001" customHeight="1" thickBot="1">
      <c r="A12" s="97"/>
      <c r="B12" s="650"/>
      <c r="C12" s="774" t="s">
        <v>298</v>
      </c>
      <c r="D12" s="775"/>
      <c r="E12" s="775"/>
      <c r="F12" s="775"/>
      <c r="G12" s="775"/>
      <c r="H12" s="775"/>
      <c r="I12" s="775"/>
      <c r="J12" s="660"/>
      <c r="K12" s="660"/>
      <c r="L12" s="660"/>
      <c r="M12" s="660"/>
      <c r="N12" s="660"/>
      <c r="O12" s="660"/>
      <c r="P12" s="660"/>
      <c r="Q12" s="661"/>
      <c r="R12" s="654" t="s">
        <v>603</v>
      </c>
      <c r="S12" s="655"/>
      <c r="T12" s="441"/>
      <c r="U12" s="782" t="str">
        <f>選択肢パターン!F4</f>
        <v>該当なし</v>
      </c>
      <c r="V12" s="780"/>
      <c r="W12" s="780"/>
      <c r="X12" s="781"/>
      <c r="Y12" s="776" t="s">
        <v>639</v>
      </c>
      <c r="Z12" s="776"/>
      <c r="AA12" s="776"/>
      <c r="AB12" s="776"/>
      <c r="AC12" s="776"/>
      <c r="AD12" s="776"/>
      <c r="AE12" s="776"/>
      <c r="AF12" s="776"/>
      <c r="AG12" s="776"/>
      <c r="AH12" s="776"/>
      <c r="AI12" s="776"/>
      <c r="AJ12" s="776"/>
      <c r="AK12" s="777"/>
      <c r="AL12" s="99"/>
    </row>
    <row r="13" spans="1:74" s="247" customFormat="1" ht="26.25" customHeight="1" thickTop="1">
      <c r="B13" s="460"/>
      <c r="C13" s="460"/>
      <c r="D13" s="460"/>
      <c r="E13" s="460"/>
      <c r="F13" s="460"/>
      <c r="G13" s="460"/>
      <c r="H13" s="460"/>
      <c r="I13" s="460"/>
      <c r="J13" s="460"/>
      <c r="K13" s="460"/>
      <c r="L13" s="460"/>
      <c r="M13" s="460"/>
      <c r="N13" s="460"/>
      <c r="O13" s="460"/>
      <c r="P13" s="460"/>
      <c r="Q13" s="460"/>
      <c r="R13" s="460"/>
      <c r="S13" s="461" t="str">
        <f>IF(J8&lt;=0,"※【ベンチマーク比較シート】に貴事業所の延べ床面積を入力してください。","")</f>
        <v>※【ベンチマーク比較シート】に貴事業所の延べ床面積を入力してください。</v>
      </c>
      <c r="U13" s="455"/>
      <c r="V13" s="455"/>
      <c r="W13" s="455"/>
      <c r="X13" s="455"/>
      <c r="Y13" s="455"/>
      <c r="Z13" s="455"/>
      <c r="AA13" s="456"/>
      <c r="AB13" s="456"/>
      <c r="AC13" s="456"/>
      <c r="AD13" s="456"/>
      <c r="AE13" s="456"/>
      <c r="AF13" s="456"/>
      <c r="AG13" s="456"/>
      <c r="AH13" s="456"/>
      <c r="AI13" s="456"/>
      <c r="AJ13" s="457"/>
      <c r="AK13" s="458" t="str">
        <f>IF(J7&lt;&gt;"個別・セントラル併用","※灰色のセルは入力不要です。","")</f>
        <v/>
      </c>
      <c r="AL13" s="103"/>
    </row>
    <row r="14" spans="1:74" ht="17.25" hidden="1" customHeight="1">
      <c r="B14" s="361"/>
      <c r="C14" s="361"/>
      <c r="D14" s="361"/>
      <c r="E14" s="361"/>
      <c r="F14" s="361"/>
      <c r="G14" s="361"/>
      <c r="H14" s="361"/>
      <c r="I14" s="361"/>
      <c r="J14" s="361"/>
      <c r="K14" s="361"/>
      <c r="L14" s="361"/>
      <c r="M14" s="361"/>
      <c r="N14" s="361"/>
      <c r="O14" s="361"/>
      <c r="P14" s="361"/>
      <c r="Q14" s="361"/>
      <c r="R14" s="361"/>
      <c r="S14" s="361"/>
      <c r="U14" s="189"/>
      <c r="V14" s="189"/>
      <c r="W14" s="189"/>
      <c r="X14" s="189"/>
      <c r="Y14" s="189"/>
      <c r="Z14" s="189"/>
      <c r="AA14" s="190"/>
      <c r="AB14" s="190"/>
      <c r="AC14" s="190"/>
      <c r="AD14" s="190"/>
      <c r="AE14" s="190"/>
      <c r="AF14" s="190"/>
      <c r="AG14" s="190"/>
      <c r="AH14" s="190"/>
      <c r="AI14" s="190"/>
      <c r="AJ14" s="191"/>
      <c r="AK14" s="191"/>
      <c r="AL14" s="99"/>
    </row>
    <row r="15" spans="1:74" ht="19.5" hidden="1" customHeight="1">
      <c r="D15" s="209"/>
      <c r="E15" s="209"/>
      <c r="F15" s="209"/>
      <c r="G15" s="209"/>
      <c r="H15" s="209"/>
      <c r="I15" s="209"/>
      <c r="J15" s="210"/>
      <c r="K15" s="210"/>
      <c r="L15" s="210"/>
      <c r="M15" s="210"/>
      <c r="N15" s="210"/>
      <c r="O15" s="210"/>
      <c r="P15" s="210"/>
      <c r="Q15" s="210"/>
      <c r="R15" s="208"/>
      <c r="S15" s="208"/>
      <c r="U15" s="368"/>
      <c r="V15" s="368"/>
      <c r="W15" s="368"/>
      <c r="X15" s="368"/>
      <c r="Y15" s="368"/>
      <c r="Z15" s="368"/>
      <c r="AA15" s="368"/>
      <c r="AB15" s="368"/>
      <c r="AC15" s="368"/>
      <c r="AD15" s="368"/>
      <c r="AE15" s="368"/>
      <c r="AF15" s="368"/>
      <c r="AG15" s="368"/>
      <c r="AH15" s="368"/>
      <c r="AI15" s="368"/>
      <c r="AJ15" s="368"/>
      <c r="AK15" s="333" t="str">
        <f>IF($J$7="個別","※灰色のセルは入力不要です。","")</f>
        <v/>
      </c>
      <c r="AL15" s="99"/>
    </row>
    <row r="16" spans="1:74" ht="21" hidden="1" customHeight="1">
      <c r="B16" s="621"/>
      <c r="C16" s="621"/>
      <c r="D16" s="621"/>
      <c r="E16" s="621"/>
      <c r="F16" s="420"/>
      <c r="G16" s="420"/>
      <c r="H16" s="621"/>
      <c r="I16" s="621"/>
      <c r="J16" s="621"/>
      <c r="K16" s="621"/>
      <c r="L16" s="621"/>
      <c r="M16" s="621"/>
      <c r="N16" s="621"/>
      <c r="O16" s="621"/>
      <c r="P16" s="678"/>
      <c r="Q16" s="678"/>
      <c r="R16" s="678"/>
      <c r="S16" s="678"/>
      <c r="T16" s="621"/>
      <c r="U16" s="621"/>
      <c r="V16" s="621"/>
      <c r="W16" s="621"/>
      <c r="X16" s="621"/>
      <c r="Y16" s="621"/>
      <c r="Z16" s="621"/>
      <c r="AA16" s="621"/>
      <c r="AB16" s="621"/>
      <c r="AC16" s="621"/>
      <c r="AD16" s="621"/>
      <c r="AE16" s="621"/>
      <c r="AF16" s="373"/>
      <c r="AG16" s="373"/>
      <c r="AH16" s="678"/>
      <c r="AI16" s="678"/>
      <c r="AJ16" s="678"/>
      <c r="AK16" s="678"/>
      <c r="AL16" s="99"/>
    </row>
    <row r="17" spans="2:51" ht="35.1" hidden="1" customHeight="1">
      <c r="B17" s="622"/>
      <c r="C17" s="622"/>
      <c r="D17" s="622"/>
      <c r="E17" s="622"/>
      <c r="F17" s="421"/>
      <c r="G17" s="421"/>
      <c r="H17" s="676"/>
      <c r="I17" s="676"/>
      <c r="J17" s="676"/>
      <c r="K17" s="676"/>
      <c r="L17" s="676"/>
      <c r="M17" s="676"/>
      <c r="N17" s="676"/>
      <c r="O17" s="676"/>
      <c r="P17" s="677"/>
      <c r="Q17" s="677"/>
      <c r="R17" s="677"/>
      <c r="S17" s="677"/>
      <c r="T17" s="676"/>
      <c r="U17" s="676"/>
      <c r="V17" s="676"/>
      <c r="W17" s="676"/>
      <c r="X17" s="676"/>
      <c r="Y17" s="676"/>
      <c r="Z17" s="676"/>
      <c r="AA17" s="676"/>
      <c r="AB17" s="676"/>
      <c r="AC17" s="676"/>
      <c r="AD17" s="676"/>
      <c r="AE17" s="676"/>
      <c r="AF17" s="374"/>
      <c r="AG17" s="374"/>
      <c r="AH17" s="677"/>
      <c r="AI17" s="677"/>
      <c r="AJ17" s="677"/>
      <c r="AK17" s="677"/>
      <c r="AL17" s="99"/>
    </row>
    <row r="18" spans="2:51" ht="35.1" hidden="1" customHeight="1">
      <c r="B18" s="98"/>
      <c r="C18" s="98"/>
      <c r="D18" s="98"/>
      <c r="E18" s="98"/>
      <c r="F18" s="98"/>
      <c r="G18" s="98"/>
      <c r="H18" s="676"/>
      <c r="I18" s="676"/>
      <c r="J18" s="676"/>
      <c r="K18" s="676"/>
      <c r="L18" s="676"/>
      <c r="M18" s="676"/>
      <c r="N18" s="676"/>
      <c r="O18" s="676"/>
      <c r="P18" s="98"/>
      <c r="Q18" s="369"/>
      <c r="R18" s="369"/>
      <c r="S18" s="369"/>
      <c r="T18" s="98"/>
      <c r="U18" s="98"/>
      <c r="V18" s="98"/>
      <c r="W18" s="98"/>
      <c r="X18" s="676"/>
      <c r="Y18" s="676"/>
      <c r="Z18" s="676"/>
      <c r="AA18" s="676"/>
      <c r="AB18" s="676"/>
      <c r="AC18" s="676"/>
      <c r="AD18" s="676"/>
      <c r="AE18" s="676"/>
      <c r="AF18" s="374"/>
      <c r="AG18" s="374"/>
      <c r="AH18" s="98"/>
      <c r="AI18" s="98"/>
      <c r="AJ18" s="98"/>
      <c r="AK18" s="98"/>
      <c r="AL18" s="99"/>
    </row>
    <row r="19" spans="2:51" ht="15" hidden="1" customHeight="1">
      <c r="B19" s="98"/>
      <c r="C19" s="98"/>
      <c r="D19" s="98"/>
      <c r="E19" s="98"/>
      <c r="F19" s="98"/>
      <c r="G19" s="98"/>
      <c r="H19" s="98"/>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98"/>
      <c r="AI19" s="98"/>
      <c r="AJ19" s="98"/>
      <c r="AK19" s="371"/>
      <c r="AL19" s="99"/>
    </row>
    <row r="20" spans="2:51" ht="9" hidden="1" customHeight="1">
      <c r="I20" s="328"/>
      <c r="J20" s="328"/>
      <c r="K20" s="328"/>
      <c r="L20" s="328"/>
      <c r="M20" s="328"/>
      <c r="N20" s="328"/>
      <c r="O20" s="328"/>
      <c r="P20" s="328"/>
      <c r="Q20" s="328"/>
      <c r="R20" s="328"/>
      <c r="S20" s="328"/>
      <c r="T20" s="99"/>
      <c r="U20" s="99"/>
      <c r="V20" s="99"/>
      <c r="W20" s="99"/>
      <c r="X20" s="99"/>
      <c r="Y20" s="99"/>
      <c r="Z20" s="99"/>
      <c r="AA20" s="99"/>
      <c r="AB20" s="99"/>
      <c r="AC20" s="99"/>
      <c r="AD20" s="99"/>
      <c r="AE20" s="99"/>
      <c r="AF20" s="99"/>
      <c r="AG20" s="99"/>
      <c r="AH20" s="97"/>
      <c r="AI20" s="97"/>
      <c r="AJ20" s="97"/>
      <c r="AK20" s="97"/>
      <c r="AL20" s="99"/>
    </row>
    <row r="21" spans="2:51" ht="15" hidden="1" customHeight="1">
      <c r="C21" s="237"/>
      <c r="D21" s="237"/>
      <c r="E21" s="237"/>
      <c r="F21" s="237"/>
      <c r="G21" s="237"/>
      <c r="H21" s="237"/>
      <c r="I21" s="237"/>
      <c r="J21" s="237"/>
      <c r="K21" s="237"/>
      <c r="L21" s="237"/>
      <c r="M21" s="237"/>
      <c r="N21" s="237"/>
      <c r="O21" s="237"/>
      <c r="P21" s="237"/>
      <c r="Q21" s="237"/>
      <c r="R21" s="237"/>
      <c r="S21" s="237"/>
      <c r="T21" s="97"/>
      <c r="U21" s="329"/>
      <c r="V21" s="329"/>
      <c r="W21" s="329"/>
      <c r="X21" s="329"/>
      <c r="Y21" s="329"/>
      <c r="Z21" s="329"/>
      <c r="AA21" s="329"/>
      <c r="AB21" s="329"/>
      <c r="AC21" s="329"/>
      <c r="AD21" s="329"/>
      <c r="AE21" s="329"/>
      <c r="AF21" s="329"/>
      <c r="AG21" s="329"/>
      <c r="AH21" s="329"/>
      <c r="AI21" s="329"/>
      <c r="AJ21" s="329"/>
      <c r="AK21" s="329"/>
      <c r="AL21" s="99"/>
    </row>
    <row r="22" spans="2:51" ht="19.5">
      <c r="B22" s="469" t="s">
        <v>115</v>
      </c>
      <c r="C22" s="470" t="s">
        <v>119</v>
      </c>
    </row>
    <row r="23" spans="2:51" ht="24.75" thickBot="1">
      <c r="T23" s="438"/>
      <c r="U23" s="438"/>
      <c r="V23" s="438"/>
      <c r="W23" s="438"/>
      <c r="X23" s="438"/>
      <c r="Y23" s="438"/>
      <c r="Z23" s="438"/>
      <c r="AA23" s="438"/>
      <c r="AB23" s="438"/>
      <c r="AC23" s="438"/>
      <c r="AD23" s="438"/>
      <c r="AE23" s="438"/>
      <c r="AG23" s="368"/>
      <c r="AI23" s="439"/>
      <c r="AJ23" s="439"/>
      <c r="AK23" s="466" t="s">
        <v>652</v>
      </c>
    </row>
    <row r="24" spans="2:51" ht="20.100000000000001" customHeight="1" thickTop="1" thickBot="1">
      <c r="B24" s="675" t="s">
        <v>470</v>
      </c>
      <c r="C24" s="675"/>
      <c r="D24" s="675" t="s">
        <v>120</v>
      </c>
      <c r="E24" s="675"/>
      <c r="F24" s="681" t="s">
        <v>576</v>
      </c>
      <c r="G24" s="682"/>
      <c r="H24" s="755" t="s">
        <v>2</v>
      </c>
      <c r="I24" s="756"/>
      <c r="J24" s="756"/>
      <c r="K24" s="756"/>
      <c r="L24" s="756"/>
      <c r="M24" s="756"/>
      <c r="N24" s="756"/>
      <c r="O24" s="756"/>
      <c r="P24" s="756"/>
      <c r="Q24" s="756"/>
      <c r="R24" s="757"/>
      <c r="S24" s="755" t="s">
        <v>31</v>
      </c>
      <c r="T24" s="756"/>
      <c r="U24" s="756"/>
      <c r="V24" s="756"/>
      <c r="W24" s="756"/>
      <c r="X24" s="756"/>
      <c r="Y24" s="756"/>
      <c r="Z24" s="756"/>
      <c r="AA24" s="756"/>
      <c r="AB24" s="756"/>
      <c r="AC24" s="756"/>
      <c r="AD24" s="756"/>
      <c r="AE24" s="756"/>
      <c r="AF24" s="756"/>
      <c r="AG24" s="379"/>
      <c r="AH24" s="671" t="s">
        <v>471</v>
      </c>
      <c r="AI24" s="672"/>
      <c r="AJ24" s="672"/>
      <c r="AK24" s="672"/>
      <c r="AL24" s="716" t="s">
        <v>187</v>
      </c>
      <c r="AM24" s="716"/>
      <c r="AN24" s="716"/>
      <c r="AO24" s="716" t="s">
        <v>186</v>
      </c>
      <c r="AP24" s="716"/>
      <c r="AQ24" s="716"/>
      <c r="AR24" s="716" t="s">
        <v>39</v>
      </c>
      <c r="AS24" s="716"/>
      <c r="AT24" s="716"/>
    </row>
    <row r="25" spans="2:51" ht="20.100000000000001" customHeight="1" thickTop="1" thickBot="1">
      <c r="B25" s="675"/>
      <c r="C25" s="675"/>
      <c r="D25" s="675"/>
      <c r="E25" s="675"/>
      <c r="F25" s="683"/>
      <c r="G25" s="684"/>
      <c r="H25" s="758"/>
      <c r="I25" s="759"/>
      <c r="J25" s="759"/>
      <c r="K25" s="759"/>
      <c r="L25" s="759"/>
      <c r="M25" s="759"/>
      <c r="N25" s="759"/>
      <c r="O25" s="759"/>
      <c r="P25" s="759"/>
      <c r="Q25" s="759"/>
      <c r="R25" s="760"/>
      <c r="S25" s="758"/>
      <c r="T25" s="759"/>
      <c r="U25" s="759"/>
      <c r="V25" s="759"/>
      <c r="W25" s="759"/>
      <c r="X25" s="759"/>
      <c r="Y25" s="759"/>
      <c r="Z25" s="759"/>
      <c r="AA25" s="759"/>
      <c r="AB25" s="759"/>
      <c r="AC25" s="759"/>
      <c r="AD25" s="759"/>
      <c r="AE25" s="759"/>
      <c r="AF25" s="759"/>
      <c r="AG25" s="380"/>
      <c r="AH25" s="673"/>
      <c r="AI25" s="673"/>
      <c r="AJ25" s="673"/>
      <c r="AK25" s="673"/>
      <c r="AL25" s="716"/>
      <c r="AM25" s="716"/>
      <c r="AN25" s="716"/>
      <c r="AO25" s="716"/>
      <c r="AP25" s="716"/>
      <c r="AQ25" s="716"/>
      <c r="AR25" s="716"/>
      <c r="AS25" s="716"/>
      <c r="AT25" s="716"/>
    </row>
    <row r="26" spans="2:51" ht="39.950000000000003" customHeight="1" thickTop="1" thickBot="1">
      <c r="B26" s="679" t="s">
        <v>121</v>
      </c>
      <c r="C26" s="679"/>
      <c r="D26" s="674">
        <v>1</v>
      </c>
      <c r="E26" s="674"/>
      <c r="F26" s="685" t="str">
        <f ca="1">IF(OFFSET(削減率設定!$Q$4,$D26,0)="○","★","")</f>
        <v>★</v>
      </c>
      <c r="G26" s="686"/>
      <c r="H26" s="753" t="str">
        <f>メイン!E19</f>
        <v>省エネルギー対策推進体制の整備</v>
      </c>
      <c r="I26" s="754"/>
      <c r="J26" s="754"/>
      <c r="K26" s="754"/>
      <c r="L26" s="754"/>
      <c r="M26" s="754"/>
      <c r="N26" s="754"/>
      <c r="O26" s="754"/>
      <c r="P26" s="754"/>
      <c r="Q26" s="754"/>
      <c r="R26" s="754"/>
      <c r="S26" s="761" t="str">
        <f>メイン!F19</f>
        <v>・責任者の配置､経営層､テナントを含む全従業員の参加
・推進委員会等の定期的な開催</v>
      </c>
      <c r="T26" s="761"/>
      <c r="U26" s="761"/>
      <c r="V26" s="761"/>
      <c r="W26" s="761"/>
      <c r="X26" s="761"/>
      <c r="Y26" s="761"/>
      <c r="Z26" s="761"/>
      <c r="AA26" s="761"/>
      <c r="AB26" s="761"/>
      <c r="AC26" s="761"/>
      <c r="AD26" s="761"/>
      <c r="AE26" s="761"/>
      <c r="AF26" s="761"/>
      <c r="AG26" s="376"/>
      <c r="AH26" s="665"/>
      <c r="AI26" s="666"/>
      <c r="AJ26" s="666"/>
      <c r="AK26" s="667"/>
      <c r="AL26" s="717" t="str">
        <f ca="1">メイン!L19</f>
        <v>-</v>
      </c>
      <c r="AM26" s="717"/>
      <c r="AN26" s="717"/>
      <c r="AO26" s="715" t="str">
        <f ca="1">メイン!M19</f>
        <v>-</v>
      </c>
      <c r="AP26" s="715"/>
      <c r="AQ26" s="715"/>
      <c r="AR26" s="715" t="str">
        <f>メイン!N19</f>
        <v>-</v>
      </c>
      <c r="AS26" s="715"/>
      <c r="AT26" s="715"/>
    </row>
    <row r="27" spans="2:51" ht="39.950000000000003" customHeight="1" thickTop="1" thickBot="1">
      <c r="B27" s="680"/>
      <c r="C27" s="680"/>
      <c r="D27" s="664">
        <v>2</v>
      </c>
      <c r="E27" s="664"/>
      <c r="F27" s="685" t="str">
        <f ca="1">IF(OFFSET(削減率設定!$Q$4,$D27,0)="○","★","")</f>
        <v/>
      </c>
      <c r="G27" s="686"/>
      <c r="H27" s="687" t="str">
        <f>メイン!E20</f>
        <v>省エネルギー削減目標の設定</v>
      </c>
      <c r="I27" s="688"/>
      <c r="J27" s="688"/>
      <c r="K27" s="688"/>
      <c r="L27" s="688"/>
      <c r="M27" s="688"/>
      <c r="N27" s="688"/>
      <c r="O27" s="688"/>
      <c r="P27" s="688"/>
      <c r="Q27" s="688"/>
      <c r="R27" s="688"/>
      <c r="S27" s="689" t="str">
        <f>メイン!F20</f>
        <v>経営者が削減目標及び取組方針を設定、周知</v>
      </c>
      <c r="T27" s="689"/>
      <c r="U27" s="689"/>
      <c r="V27" s="689"/>
      <c r="W27" s="689"/>
      <c r="X27" s="689"/>
      <c r="Y27" s="689"/>
      <c r="Z27" s="689"/>
      <c r="AA27" s="689"/>
      <c r="AB27" s="689"/>
      <c r="AC27" s="689"/>
      <c r="AD27" s="689"/>
      <c r="AE27" s="689"/>
      <c r="AF27" s="689"/>
      <c r="AG27" s="376"/>
      <c r="AH27" s="665"/>
      <c r="AI27" s="666"/>
      <c r="AJ27" s="666"/>
      <c r="AK27" s="667"/>
      <c r="AL27" s="717" t="str">
        <f ca="1">メイン!L20</f>
        <v>-</v>
      </c>
      <c r="AM27" s="717"/>
      <c r="AN27" s="717"/>
      <c r="AO27" s="715" t="str">
        <f ca="1">メイン!M20</f>
        <v>-</v>
      </c>
      <c r="AP27" s="715"/>
      <c r="AQ27" s="715"/>
      <c r="AR27" s="715" t="str">
        <f>メイン!N20</f>
        <v>-</v>
      </c>
      <c r="AS27" s="715"/>
      <c r="AT27" s="715"/>
      <c r="AW27" s="100"/>
      <c r="AX27" s="98"/>
      <c r="AY27" s="98"/>
    </row>
    <row r="28" spans="2:51" ht="39.950000000000003" customHeight="1" thickTop="1" thickBot="1">
      <c r="B28" s="680"/>
      <c r="C28" s="680"/>
      <c r="D28" s="664">
        <v>3</v>
      </c>
      <c r="E28" s="664"/>
      <c r="F28" s="685" t="str">
        <f ca="1">IF(OFFSET(削減率設定!$Q$4,$D28,0)="○","★","")</f>
        <v/>
      </c>
      <c r="G28" s="686"/>
      <c r="H28" s="687" t="str">
        <f>メイン!E21</f>
        <v>設備管理台帳、図面類の整備</v>
      </c>
      <c r="I28" s="688"/>
      <c r="J28" s="688"/>
      <c r="K28" s="688"/>
      <c r="L28" s="688"/>
      <c r="M28" s="688"/>
      <c r="N28" s="688"/>
      <c r="O28" s="688"/>
      <c r="P28" s="688"/>
      <c r="Q28" s="688"/>
      <c r="R28" s="688"/>
      <c r="S28" s="689" t="str">
        <f>メイン!F21</f>
        <v>･主要機器の仕様､修繕･更新履歴及び費用等を記録
･竣工図､系統図等の整備､更新</v>
      </c>
      <c r="T28" s="689"/>
      <c r="U28" s="689"/>
      <c r="V28" s="689"/>
      <c r="W28" s="689"/>
      <c r="X28" s="689"/>
      <c r="Y28" s="689"/>
      <c r="Z28" s="689"/>
      <c r="AA28" s="689"/>
      <c r="AB28" s="689"/>
      <c r="AC28" s="689"/>
      <c r="AD28" s="689"/>
      <c r="AE28" s="689"/>
      <c r="AF28" s="689"/>
      <c r="AG28" s="377"/>
      <c r="AH28" s="665"/>
      <c r="AI28" s="666"/>
      <c r="AJ28" s="666"/>
      <c r="AK28" s="667"/>
      <c r="AL28" s="717" t="str">
        <f ca="1">メイン!L21</f>
        <v>-</v>
      </c>
      <c r="AM28" s="717"/>
      <c r="AN28" s="717"/>
      <c r="AO28" s="715" t="str">
        <f ca="1">メイン!M21</f>
        <v>-</v>
      </c>
      <c r="AP28" s="715"/>
      <c r="AQ28" s="715"/>
      <c r="AR28" s="715" t="str">
        <f>メイン!N21</f>
        <v>-</v>
      </c>
      <c r="AS28" s="715"/>
      <c r="AT28" s="715"/>
      <c r="AW28" s="100"/>
      <c r="AX28" s="98"/>
      <c r="AY28" s="98"/>
    </row>
    <row r="29" spans="2:51" ht="39.950000000000003" customHeight="1" thickTop="1" thickBot="1">
      <c r="B29" s="680"/>
      <c r="C29" s="680"/>
      <c r="D29" s="664">
        <v>4</v>
      </c>
      <c r="E29" s="664"/>
      <c r="F29" s="685" t="str">
        <f ca="1">IF(OFFSET(削減率設定!$Q$4,$D29,0)="○","★","")</f>
        <v>★</v>
      </c>
      <c r="G29" s="686"/>
      <c r="H29" s="687" t="str">
        <f>メイン!E22</f>
        <v>管理標準の策定</v>
      </c>
      <c r="I29" s="688"/>
      <c r="J29" s="688"/>
      <c r="K29" s="688"/>
      <c r="L29" s="688"/>
      <c r="M29" s="688"/>
      <c r="N29" s="688"/>
      <c r="O29" s="688"/>
      <c r="P29" s="688"/>
      <c r="Q29" s="688"/>
      <c r="R29" s="688"/>
      <c r="S29" s="689" t="str">
        <f>メイン!F22</f>
        <v>主要機器の管理､計測､記録､保守､点検等に関するマニュアルの策定</v>
      </c>
      <c r="T29" s="689"/>
      <c r="U29" s="689"/>
      <c r="V29" s="689"/>
      <c r="W29" s="689"/>
      <c r="X29" s="689"/>
      <c r="Y29" s="689"/>
      <c r="Z29" s="689"/>
      <c r="AA29" s="689"/>
      <c r="AB29" s="689"/>
      <c r="AC29" s="689"/>
      <c r="AD29" s="689"/>
      <c r="AE29" s="689"/>
      <c r="AF29" s="689"/>
      <c r="AG29" s="376"/>
      <c r="AH29" s="665"/>
      <c r="AI29" s="666"/>
      <c r="AJ29" s="666"/>
      <c r="AK29" s="667"/>
      <c r="AL29" s="717" t="str">
        <f ca="1">メイン!L22</f>
        <v>-</v>
      </c>
      <c r="AM29" s="717"/>
      <c r="AN29" s="717"/>
      <c r="AO29" s="715" t="str">
        <f ca="1">メイン!M22</f>
        <v>-</v>
      </c>
      <c r="AP29" s="715"/>
      <c r="AQ29" s="715"/>
      <c r="AR29" s="715" t="str">
        <f>メイン!N22</f>
        <v>-</v>
      </c>
      <c r="AS29" s="715"/>
      <c r="AT29" s="715"/>
      <c r="AW29" s="100"/>
      <c r="AX29" s="98"/>
      <c r="AY29" s="98"/>
    </row>
    <row r="30" spans="2:51" ht="39.950000000000003" customHeight="1" thickTop="1" thickBot="1">
      <c r="B30" s="680"/>
      <c r="C30" s="680"/>
      <c r="D30" s="664">
        <v>5</v>
      </c>
      <c r="E30" s="664"/>
      <c r="F30" s="685" t="str">
        <f ca="1">IF(OFFSET(削減率設定!$Q$4,$D30,0)="○","★","")</f>
        <v/>
      </c>
      <c r="G30" s="686"/>
      <c r="H30" s="687" t="str">
        <f>メイン!E23</f>
        <v>定期的な計測、記録の実施</v>
      </c>
      <c r="I30" s="688"/>
      <c r="J30" s="688"/>
      <c r="K30" s="688"/>
      <c r="L30" s="688"/>
      <c r="M30" s="688"/>
      <c r="N30" s="688"/>
      <c r="O30" s="688"/>
      <c r="P30" s="688"/>
      <c r="Q30" s="688"/>
      <c r="R30" s="688"/>
      <c r="S30" s="689" t="str">
        <f>メイン!F23</f>
        <v>エネルギー使用量､照度､温湿度､CO2濃度等を計測､記録</v>
      </c>
      <c r="T30" s="689"/>
      <c r="U30" s="689"/>
      <c r="V30" s="689"/>
      <c r="W30" s="689"/>
      <c r="X30" s="689"/>
      <c r="Y30" s="689"/>
      <c r="Z30" s="689"/>
      <c r="AA30" s="689"/>
      <c r="AB30" s="689"/>
      <c r="AC30" s="689"/>
      <c r="AD30" s="689"/>
      <c r="AE30" s="689"/>
      <c r="AF30" s="689"/>
      <c r="AG30" s="376"/>
      <c r="AH30" s="665"/>
      <c r="AI30" s="666"/>
      <c r="AJ30" s="666"/>
      <c r="AK30" s="667"/>
      <c r="AL30" s="717" t="str">
        <f ca="1">メイン!L23</f>
        <v>-</v>
      </c>
      <c r="AM30" s="717"/>
      <c r="AN30" s="717"/>
      <c r="AO30" s="715" t="str">
        <f ca="1">メイン!M23</f>
        <v>-</v>
      </c>
      <c r="AP30" s="715"/>
      <c r="AQ30" s="715"/>
      <c r="AR30" s="715" t="str">
        <f>メイン!N23</f>
        <v>-</v>
      </c>
      <c r="AS30" s="715"/>
      <c r="AT30" s="715"/>
      <c r="AW30" s="100"/>
      <c r="AX30" s="98"/>
      <c r="AY30" s="98"/>
    </row>
    <row r="31" spans="2:51" ht="39.950000000000003" customHeight="1" thickTop="1" thickBot="1">
      <c r="B31" s="680"/>
      <c r="C31" s="680"/>
      <c r="D31" s="664">
        <v>6</v>
      </c>
      <c r="E31" s="664"/>
      <c r="F31" s="685" t="str">
        <f ca="1">IF(OFFSET(削減率設定!$Q$4,$D31,0)="○","★","")</f>
        <v/>
      </c>
      <c r="G31" s="686"/>
      <c r="H31" s="687" t="str">
        <f>メイン!E24</f>
        <v>省エネ対策取組状況の点検</v>
      </c>
      <c r="I31" s="688"/>
      <c r="J31" s="688"/>
      <c r="K31" s="688"/>
      <c r="L31" s="688"/>
      <c r="M31" s="688"/>
      <c r="N31" s="688"/>
      <c r="O31" s="688"/>
      <c r="P31" s="688"/>
      <c r="Q31" s="688"/>
      <c r="R31" s="688"/>
      <c r="S31" s="689" t="str">
        <f>メイン!F24</f>
        <v>・点検項目､手順を定め社内点検
・省エネ診断等外部専門家を活用</v>
      </c>
      <c r="T31" s="689"/>
      <c r="U31" s="689"/>
      <c r="V31" s="689"/>
      <c r="W31" s="689"/>
      <c r="X31" s="689"/>
      <c r="Y31" s="689"/>
      <c r="Z31" s="689"/>
      <c r="AA31" s="689"/>
      <c r="AB31" s="689"/>
      <c r="AC31" s="689"/>
      <c r="AD31" s="689"/>
      <c r="AE31" s="689"/>
      <c r="AF31" s="689"/>
      <c r="AG31" s="376"/>
      <c r="AH31" s="665"/>
      <c r="AI31" s="666"/>
      <c r="AJ31" s="666"/>
      <c r="AK31" s="667"/>
      <c r="AL31" s="717" t="str">
        <f ca="1">メイン!L24</f>
        <v>-</v>
      </c>
      <c r="AM31" s="717"/>
      <c r="AN31" s="717"/>
      <c r="AO31" s="715" t="str">
        <f ca="1">メイン!M24</f>
        <v>-</v>
      </c>
      <c r="AP31" s="715"/>
      <c r="AQ31" s="715"/>
      <c r="AR31" s="715" t="str">
        <f>メイン!N24</f>
        <v>-</v>
      </c>
      <c r="AS31" s="715"/>
      <c r="AT31" s="715"/>
      <c r="AW31" s="100"/>
      <c r="AX31" s="98"/>
      <c r="AY31" s="98"/>
    </row>
    <row r="32" spans="2:51" ht="39.950000000000003" customHeight="1" thickTop="1" thickBot="1">
      <c r="B32" s="680"/>
      <c r="C32" s="680"/>
      <c r="D32" s="664">
        <v>7</v>
      </c>
      <c r="E32" s="664"/>
      <c r="F32" s="685" t="str">
        <f ca="1">IF(OFFSET(削減率設定!$Q$4,$D32,0)="○","★","")</f>
        <v>★</v>
      </c>
      <c r="G32" s="686"/>
      <c r="H32" s="687" t="str">
        <f>メイン!E25</f>
        <v>主要設備の使用状況の管理</v>
      </c>
      <c r="I32" s="688"/>
      <c r="J32" s="688"/>
      <c r="K32" s="688"/>
      <c r="L32" s="688"/>
      <c r="M32" s="688"/>
      <c r="N32" s="688"/>
      <c r="O32" s="688"/>
      <c r="P32" s="688"/>
      <c r="Q32" s="688"/>
      <c r="R32" s="688"/>
      <c r="S32" s="689" t="str">
        <f>メイン!F25</f>
        <v>主要設備の使用状況､耐用年数､不具合の把握､記録</v>
      </c>
      <c r="T32" s="689"/>
      <c r="U32" s="689"/>
      <c r="V32" s="689"/>
      <c r="W32" s="689"/>
      <c r="X32" s="689"/>
      <c r="Y32" s="689"/>
      <c r="Z32" s="689"/>
      <c r="AA32" s="689"/>
      <c r="AB32" s="689"/>
      <c r="AC32" s="689"/>
      <c r="AD32" s="689"/>
      <c r="AE32" s="689"/>
      <c r="AF32" s="689"/>
      <c r="AG32" s="376"/>
      <c r="AH32" s="665"/>
      <c r="AI32" s="666"/>
      <c r="AJ32" s="666"/>
      <c r="AK32" s="667"/>
      <c r="AL32" s="717" t="str">
        <f ca="1">メイン!L25</f>
        <v>-</v>
      </c>
      <c r="AM32" s="717"/>
      <c r="AN32" s="717"/>
      <c r="AO32" s="715" t="str">
        <f ca="1">メイン!M25</f>
        <v>-</v>
      </c>
      <c r="AP32" s="715"/>
      <c r="AQ32" s="715"/>
      <c r="AR32" s="715" t="str">
        <f>メイン!N25</f>
        <v>-</v>
      </c>
      <c r="AS32" s="715"/>
      <c r="AT32" s="715"/>
      <c r="AW32" s="100"/>
      <c r="AX32" s="98"/>
      <c r="AY32" s="98"/>
    </row>
    <row r="33" spans="2:51" ht="39.950000000000003" customHeight="1" thickTop="1" thickBot="1">
      <c r="B33" s="680"/>
      <c r="C33" s="680"/>
      <c r="D33" s="664">
        <v>8</v>
      </c>
      <c r="E33" s="664"/>
      <c r="F33" s="685" t="str">
        <f ca="1">IF(OFFSET(削減率設定!$Q$4,$D33,0)="○","★","")</f>
        <v/>
      </c>
      <c r="G33" s="686"/>
      <c r="H33" s="687" t="str">
        <f>メイン!E26</f>
        <v>エネルギー使用量の見える化</v>
      </c>
      <c r="I33" s="688"/>
      <c r="J33" s="688"/>
      <c r="K33" s="688"/>
      <c r="L33" s="688"/>
      <c r="M33" s="688"/>
      <c r="N33" s="688"/>
      <c r="O33" s="688"/>
      <c r="P33" s="688"/>
      <c r="Q33" s="688"/>
      <c r="R33" s="688"/>
      <c r="S33" s="689" t="str">
        <f>メイン!F26</f>
        <v>・エネルギー使用量のグラフ化､過年度と比較､分析
・東京都の地球温暖化対策報告書制度の活用</v>
      </c>
      <c r="T33" s="689"/>
      <c r="U33" s="689"/>
      <c r="V33" s="689"/>
      <c r="W33" s="689"/>
      <c r="X33" s="689"/>
      <c r="Y33" s="689"/>
      <c r="Z33" s="689"/>
      <c r="AA33" s="689"/>
      <c r="AB33" s="689"/>
      <c r="AC33" s="689"/>
      <c r="AD33" s="689"/>
      <c r="AE33" s="689"/>
      <c r="AF33" s="689"/>
      <c r="AG33" s="376"/>
      <c r="AH33" s="665"/>
      <c r="AI33" s="666"/>
      <c r="AJ33" s="666"/>
      <c r="AK33" s="667"/>
      <c r="AL33" s="717" t="str">
        <f ca="1">メイン!L26</f>
        <v>-</v>
      </c>
      <c r="AM33" s="717"/>
      <c r="AN33" s="717"/>
      <c r="AO33" s="715" t="str">
        <f ca="1">メイン!M26</f>
        <v>-</v>
      </c>
      <c r="AP33" s="715"/>
      <c r="AQ33" s="715"/>
      <c r="AR33" s="715" t="str">
        <f>メイン!N26</f>
        <v>-</v>
      </c>
      <c r="AS33" s="715"/>
      <c r="AT33" s="715"/>
      <c r="AW33" s="100"/>
      <c r="AX33" s="98"/>
      <c r="AY33" s="98"/>
    </row>
    <row r="34" spans="2:51" ht="39.950000000000003" customHeight="1" thickTop="1" thickBot="1">
      <c r="B34" s="680"/>
      <c r="C34" s="680"/>
      <c r="D34" s="664">
        <v>9</v>
      </c>
      <c r="E34" s="664"/>
      <c r="F34" s="685" t="str">
        <f ca="1">IF(OFFSET(削減率設定!$Q$4,$D34,0)="○","★","")</f>
        <v/>
      </c>
      <c r="G34" s="686"/>
      <c r="H34" s="687" t="str">
        <f>メイン!E27</f>
        <v>テナントや従業員との情報共有</v>
      </c>
      <c r="I34" s="688"/>
      <c r="J34" s="688"/>
      <c r="K34" s="688"/>
      <c r="L34" s="688"/>
      <c r="M34" s="688"/>
      <c r="N34" s="688"/>
      <c r="O34" s="688"/>
      <c r="P34" s="688"/>
      <c r="Q34" s="688"/>
      <c r="R34" s="688"/>
      <c r="S34" s="689" t="str">
        <f>メイン!F27</f>
        <v>・エネルギー使用量､省エネ対策実施状況等を共有
・都のPRシートやカーボンレポートの活用</v>
      </c>
      <c r="T34" s="689"/>
      <c r="U34" s="689"/>
      <c r="V34" s="689"/>
      <c r="W34" s="689"/>
      <c r="X34" s="689"/>
      <c r="Y34" s="689"/>
      <c r="Z34" s="689"/>
      <c r="AA34" s="689"/>
      <c r="AB34" s="689"/>
      <c r="AC34" s="689"/>
      <c r="AD34" s="689"/>
      <c r="AE34" s="689"/>
      <c r="AF34" s="689"/>
      <c r="AG34" s="376"/>
      <c r="AH34" s="665"/>
      <c r="AI34" s="666"/>
      <c r="AJ34" s="666"/>
      <c r="AK34" s="667"/>
      <c r="AL34" s="717" t="str">
        <f ca="1">メイン!L27</f>
        <v>-</v>
      </c>
      <c r="AM34" s="717"/>
      <c r="AN34" s="717"/>
      <c r="AO34" s="715" t="str">
        <f ca="1">メイン!M27</f>
        <v>-</v>
      </c>
      <c r="AP34" s="715"/>
      <c r="AQ34" s="715"/>
      <c r="AR34" s="715" t="str">
        <f>メイン!N27</f>
        <v>-</v>
      </c>
      <c r="AS34" s="715"/>
      <c r="AT34" s="715"/>
      <c r="AW34" s="100"/>
      <c r="AX34" s="98"/>
      <c r="AY34" s="98"/>
    </row>
    <row r="35" spans="2:51" ht="39.950000000000003" customHeight="1" thickTop="1" thickBot="1">
      <c r="B35" s="680"/>
      <c r="C35" s="680"/>
      <c r="D35" s="664">
        <v>10</v>
      </c>
      <c r="E35" s="664"/>
      <c r="F35" s="685" t="str">
        <f ca="1">IF(OFFSET(削減率設定!$Q$4,$D35,0)="○","★","")</f>
        <v/>
      </c>
      <c r="G35" s="686"/>
      <c r="H35" s="693" t="str">
        <f>メイン!E28</f>
        <v>テナントや従業員への啓発活動の推進</v>
      </c>
      <c r="I35" s="694"/>
      <c r="J35" s="694"/>
      <c r="K35" s="694"/>
      <c r="L35" s="694"/>
      <c r="M35" s="694"/>
      <c r="N35" s="694"/>
      <c r="O35" s="694"/>
      <c r="P35" s="694"/>
      <c r="Q35" s="694"/>
      <c r="R35" s="694"/>
      <c r="S35" s="695" t="str">
        <f>メイン!F28</f>
        <v>啓発ポスター等の掲示やイントラネットによる情報発信</v>
      </c>
      <c r="T35" s="695"/>
      <c r="U35" s="695"/>
      <c r="V35" s="695"/>
      <c r="W35" s="695"/>
      <c r="X35" s="695"/>
      <c r="Y35" s="695"/>
      <c r="Z35" s="695"/>
      <c r="AA35" s="695"/>
      <c r="AB35" s="695"/>
      <c r="AC35" s="695"/>
      <c r="AD35" s="695"/>
      <c r="AE35" s="695"/>
      <c r="AF35" s="695"/>
      <c r="AG35" s="376"/>
      <c r="AH35" s="665"/>
      <c r="AI35" s="666"/>
      <c r="AJ35" s="666"/>
      <c r="AK35" s="667"/>
      <c r="AL35" s="717" t="str">
        <f ca="1">メイン!L28</f>
        <v>-</v>
      </c>
      <c r="AM35" s="717"/>
      <c r="AN35" s="717"/>
      <c r="AO35" s="715" t="str">
        <f ca="1">メイン!M28</f>
        <v>-</v>
      </c>
      <c r="AP35" s="715"/>
      <c r="AQ35" s="715"/>
      <c r="AR35" s="715" t="str">
        <f>メイン!N28</f>
        <v>-</v>
      </c>
      <c r="AS35" s="715"/>
      <c r="AT35" s="715"/>
      <c r="AW35" s="100"/>
      <c r="AX35" s="98"/>
      <c r="AY35" s="98"/>
    </row>
    <row r="36" spans="2:51" ht="39.950000000000003" customHeight="1" thickTop="1" thickBot="1">
      <c r="B36" s="739" t="s">
        <v>462</v>
      </c>
      <c r="C36" s="739"/>
      <c r="D36" s="690">
        <v>11</v>
      </c>
      <c r="E36" s="690"/>
      <c r="F36" s="615" t="str">
        <f ca="1">IF(OFFSET(削減率設定!$Q$4,$D36,0)="○","★","")</f>
        <v>★</v>
      </c>
      <c r="G36" s="616"/>
      <c r="H36" s="691" t="str">
        <f>メイン!E29</f>
        <v>室内温度の適正化</v>
      </c>
      <c r="I36" s="692"/>
      <c r="J36" s="692"/>
      <c r="K36" s="692"/>
      <c r="L36" s="692"/>
      <c r="M36" s="692"/>
      <c r="N36" s="692"/>
      <c r="O36" s="692"/>
      <c r="P36" s="692"/>
      <c r="Q36" s="692"/>
      <c r="R36" s="692"/>
      <c r="S36" s="696" t="str">
        <f>メイン!F29</f>
        <v>事務室の室温を許容範囲で緩和</v>
      </c>
      <c r="T36" s="696"/>
      <c r="U36" s="696"/>
      <c r="V36" s="696"/>
      <c r="W36" s="696"/>
      <c r="X36" s="696"/>
      <c r="Y36" s="696"/>
      <c r="Z36" s="696"/>
      <c r="AA36" s="696"/>
      <c r="AB36" s="696"/>
      <c r="AC36" s="696"/>
      <c r="AD36" s="696"/>
      <c r="AE36" s="696"/>
      <c r="AF36" s="696"/>
      <c r="AG36" s="376"/>
      <c r="AH36" s="665"/>
      <c r="AI36" s="666"/>
      <c r="AJ36" s="666"/>
      <c r="AK36" s="667"/>
      <c r="AL36" s="717" t="str">
        <f ca="1">メイン!L29</f>
        <v>-</v>
      </c>
      <c r="AM36" s="717"/>
      <c r="AN36" s="717"/>
      <c r="AO36" s="715" t="str">
        <f ca="1">メイン!M29</f>
        <v>-</v>
      </c>
      <c r="AP36" s="715"/>
      <c r="AQ36" s="715"/>
      <c r="AR36" s="715" t="str">
        <f>メイン!N29</f>
        <v>-</v>
      </c>
      <c r="AS36" s="715"/>
      <c r="AT36" s="715"/>
      <c r="AW36" s="100"/>
      <c r="AX36" s="98"/>
      <c r="AY36" s="98"/>
    </row>
    <row r="37" spans="2:51" ht="39.950000000000003" customHeight="1" thickTop="1" thickBot="1">
      <c r="B37" s="739"/>
      <c r="C37" s="739"/>
      <c r="D37" s="690">
        <v>12</v>
      </c>
      <c r="E37" s="690"/>
      <c r="F37" s="615" t="str">
        <f ca="1">IF(OFFSET(削減率設定!$Q$4,$D37,0)="○","★","")</f>
        <v>★</v>
      </c>
      <c r="G37" s="616"/>
      <c r="H37" s="697" t="str">
        <f>メイン!E30</f>
        <v>共用部の温度設定の緩和、停止</v>
      </c>
      <c r="I37" s="698"/>
      <c r="J37" s="698"/>
      <c r="K37" s="698"/>
      <c r="L37" s="698"/>
      <c r="M37" s="698"/>
      <c r="N37" s="698"/>
      <c r="O37" s="698"/>
      <c r="P37" s="698"/>
      <c r="Q37" s="698"/>
      <c r="R37" s="698"/>
      <c r="S37" s="740" t="str">
        <f>メイン!F30</f>
        <v>事務室より1℃緩和又は停止</v>
      </c>
      <c r="T37" s="740"/>
      <c r="U37" s="740"/>
      <c r="V37" s="740"/>
      <c r="W37" s="740"/>
      <c r="X37" s="740"/>
      <c r="Y37" s="740"/>
      <c r="Z37" s="740"/>
      <c r="AA37" s="740"/>
      <c r="AB37" s="740"/>
      <c r="AC37" s="740"/>
      <c r="AD37" s="740"/>
      <c r="AE37" s="740"/>
      <c r="AF37" s="740"/>
      <c r="AG37" s="376"/>
      <c r="AH37" s="665"/>
      <c r="AI37" s="666"/>
      <c r="AJ37" s="666"/>
      <c r="AK37" s="667"/>
      <c r="AL37" s="717" t="str">
        <f ca="1">メイン!L30</f>
        <v>-</v>
      </c>
      <c r="AM37" s="717"/>
      <c r="AN37" s="717"/>
      <c r="AO37" s="715" t="str">
        <f ca="1">メイン!M30</f>
        <v>-</v>
      </c>
      <c r="AP37" s="715"/>
      <c r="AQ37" s="715"/>
      <c r="AR37" s="715" t="str">
        <f>メイン!N30</f>
        <v>-</v>
      </c>
      <c r="AS37" s="715"/>
      <c r="AT37" s="715"/>
      <c r="AW37" s="98"/>
      <c r="AX37" s="98"/>
      <c r="AY37" s="98"/>
    </row>
    <row r="38" spans="2:51" ht="39.950000000000003" customHeight="1" thickTop="1" thickBot="1">
      <c r="B38" s="739"/>
      <c r="C38" s="739"/>
      <c r="D38" s="690">
        <v>13</v>
      </c>
      <c r="E38" s="690"/>
      <c r="F38" s="615" t="str">
        <f ca="1">IF(OFFSET(削減率設定!$Q$4,$D38,0)="○","★","")</f>
        <v/>
      </c>
      <c r="G38" s="616"/>
      <c r="H38" s="697" t="str">
        <f>メイン!E31</f>
        <v>実温度の把握と調整</v>
      </c>
      <c r="I38" s="698"/>
      <c r="J38" s="698"/>
      <c r="K38" s="698"/>
      <c r="L38" s="698"/>
      <c r="M38" s="698"/>
      <c r="N38" s="698"/>
      <c r="O38" s="698"/>
      <c r="P38" s="698"/>
      <c r="Q38" s="698"/>
      <c r="R38" s="698"/>
      <c r="S38" s="740" t="str">
        <f>メイン!F31</f>
        <v>温度計を設置し､実際の室温の把握と設定温度を調整</v>
      </c>
      <c r="T38" s="740"/>
      <c r="U38" s="740"/>
      <c r="V38" s="740"/>
      <c r="W38" s="740"/>
      <c r="X38" s="740"/>
      <c r="Y38" s="740"/>
      <c r="Z38" s="740"/>
      <c r="AA38" s="740"/>
      <c r="AB38" s="740"/>
      <c r="AC38" s="740"/>
      <c r="AD38" s="740"/>
      <c r="AE38" s="740"/>
      <c r="AF38" s="740"/>
      <c r="AG38" s="376"/>
      <c r="AH38" s="665"/>
      <c r="AI38" s="666"/>
      <c r="AJ38" s="666"/>
      <c r="AK38" s="667"/>
      <c r="AL38" s="717" t="str">
        <f ca="1">メイン!L31</f>
        <v>-</v>
      </c>
      <c r="AM38" s="717"/>
      <c r="AN38" s="717"/>
      <c r="AO38" s="715" t="str">
        <f ca="1">メイン!M31</f>
        <v>-</v>
      </c>
      <c r="AP38" s="715"/>
      <c r="AQ38" s="715"/>
      <c r="AR38" s="715" t="str">
        <f>メイン!N31</f>
        <v>-</v>
      </c>
      <c r="AS38" s="715"/>
      <c r="AT38" s="715"/>
    </row>
    <row r="39" spans="2:51" ht="39.950000000000003" customHeight="1" thickTop="1" thickBot="1">
      <c r="B39" s="739"/>
      <c r="C39" s="739"/>
      <c r="D39" s="690">
        <v>14</v>
      </c>
      <c r="E39" s="690"/>
      <c r="F39" s="615" t="str">
        <f ca="1">IF(OFFSET(削減率設定!$Q$4,$D39,0)="○","★","")</f>
        <v/>
      </c>
      <c r="G39" s="616"/>
      <c r="H39" s="697" t="str">
        <f>メイン!E32</f>
        <v>温度分布の適正化</v>
      </c>
      <c r="I39" s="698"/>
      <c r="J39" s="698"/>
      <c r="K39" s="698"/>
      <c r="L39" s="698"/>
      <c r="M39" s="698"/>
      <c r="N39" s="698"/>
      <c r="O39" s="698"/>
      <c r="P39" s="698"/>
      <c r="Q39" s="698"/>
      <c r="R39" s="698"/>
      <c r="S39" s="740" t="str">
        <f>メイン!F32</f>
        <v>温度分布の把握､改善（例：サーキュレーターの設置等）</v>
      </c>
      <c r="T39" s="740"/>
      <c r="U39" s="740"/>
      <c r="V39" s="740"/>
      <c r="W39" s="740"/>
      <c r="X39" s="740"/>
      <c r="Y39" s="740"/>
      <c r="Z39" s="740"/>
      <c r="AA39" s="740"/>
      <c r="AB39" s="740"/>
      <c r="AC39" s="740"/>
      <c r="AD39" s="740"/>
      <c r="AE39" s="740"/>
      <c r="AF39" s="740"/>
      <c r="AG39" s="376"/>
      <c r="AH39" s="665"/>
      <c r="AI39" s="666"/>
      <c r="AJ39" s="666"/>
      <c r="AK39" s="667"/>
      <c r="AL39" s="717" t="str">
        <f ca="1">メイン!L32</f>
        <v>-</v>
      </c>
      <c r="AM39" s="717"/>
      <c r="AN39" s="717"/>
      <c r="AO39" s="715" t="str">
        <f ca="1">メイン!M32</f>
        <v>-</v>
      </c>
      <c r="AP39" s="715"/>
      <c r="AQ39" s="715"/>
      <c r="AR39" s="715" t="str">
        <f>メイン!N32</f>
        <v>-</v>
      </c>
      <c r="AS39" s="715"/>
      <c r="AT39" s="715"/>
    </row>
    <row r="40" spans="2:51" ht="39.950000000000003" customHeight="1" thickTop="1" thickBot="1">
      <c r="B40" s="739"/>
      <c r="C40" s="739"/>
      <c r="D40" s="690">
        <v>15</v>
      </c>
      <c r="E40" s="690"/>
      <c r="F40" s="615" t="str">
        <f ca="1">IF(OFFSET(削減率設定!$Q$4,$D40,0)="○","★","")</f>
        <v/>
      </c>
      <c r="G40" s="616"/>
      <c r="H40" s="697" t="str">
        <f>メイン!E33</f>
        <v>空調機の温湿度センサー設置環境の改善</v>
      </c>
      <c r="I40" s="698"/>
      <c r="J40" s="698"/>
      <c r="K40" s="698"/>
      <c r="L40" s="698"/>
      <c r="M40" s="698"/>
      <c r="N40" s="698"/>
      <c r="O40" s="698"/>
      <c r="P40" s="698"/>
      <c r="Q40" s="698"/>
      <c r="R40" s="698"/>
      <c r="S40" s="740" t="str">
        <f>メイン!F33</f>
        <v>センサー付近の温度ムラの確認､解消</v>
      </c>
      <c r="T40" s="740"/>
      <c r="U40" s="740"/>
      <c r="V40" s="740"/>
      <c r="W40" s="740"/>
      <c r="X40" s="740"/>
      <c r="Y40" s="740"/>
      <c r="Z40" s="740"/>
      <c r="AA40" s="740"/>
      <c r="AB40" s="740"/>
      <c r="AC40" s="740"/>
      <c r="AD40" s="740"/>
      <c r="AE40" s="740"/>
      <c r="AF40" s="740"/>
      <c r="AG40" s="376"/>
      <c r="AH40" s="665"/>
      <c r="AI40" s="666"/>
      <c r="AJ40" s="666"/>
      <c r="AK40" s="667"/>
      <c r="AL40" s="717" t="str">
        <f ca="1">メイン!L33</f>
        <v>-</v>
      </c>
      <c r="AM40" s="717"/>
      <c r="AN40" s="717"/>
      <c r="AO40" s="715" t="str">
        <f ca="1">メイン!M33</f>
        <v>-</v>
      </c>
      <c r="AP40" s="715"/>
      <c r="AQ40" s="715"/>
      <c r="AR40" s="715" t="str">
        <f>メイン!N33</f>
        <v>-</v>
      </c>
      <c r="AS40" s="715"/>
      <c r="AT40" s="715"/>
    </row>
    <row r="41" spans="2:51" ht="39.950000000000003" customHeight="1" thickTop="1" thickBot="1">
      <c r="B41" s="739"/>
      <c r="C41" s="739"/>
      <c r="D41" s="690">
        <v>16</v>
      </c>
      <c r="E41" s="690"/>
      <c r="F41" s="615" t="str">
        <f ca="1">IF(OFFSET(削減率設定!$Q$4,$D41,0)="○","★","")</f>
        <v/>
      </c>
      <c r="G41" s="616"/>
      <c r="H41" s="697" t="str">
        <f>メイン!E34</f>
        <v>出入口からの外気侵入防止</v>
      </c>
      <c r="I41" s="698"/>
      <c r="J41" s="698"/>
      <c r="K41" s="698"/>
      <c r="L41" s="698"/>
      <c r="M41" s="698"/>
      <c r="N41" s="698"/>
      <c r="O41" s="698"/>
      <c r="P41" s="698"/>
      <c r="Q41" s="698"/>
      <c r="R41" s="698"/>
      <c r="S41" s="740" t="str">
        <f>メイン!F34</f>
        <v>出入口等の開放部分の削減</v>
      </c>
      <c r="T41" s="740"/>
      <c r="U41" s="740"/>
      <c r="V41" s="740"/>
      <c r="W41" s="740"/>
      <c r="X41" s="740"/>
      <c r="Y41" s="740"/>
      <c r="Z41" s="740"/>
      <c r="AA41" s="740"/>
      <c r="AB41" s="740"/>
      <c r="AC41" s="740"/>
      <c r="AD41" s="740"/>
      <c r="AE41" s="740"/>
      <c r="AF41" s="740"/>
      <c r="AG41" s="376"/>
      <c r="AH41" s="665"/>
      <c r="AI41" s="666"/>
      <c r="AJ41" s="666"/>
      <c r="AK41" s="667"/>
      <c r="AL41" s="717" t="str">
        <f ca="1">メイン!L34</f>
        <v>-</v>
      </c>
      <c r="AM41" s="717"/>
      <c r="AN41" s="717"/>
      <c r="AO41" s="715" t="str">
        <f ca="1">メイン!M34</f>
        <v>-</v>
      </c>
      <c r="AP41" s="715"/>
      <c r="AQ41" s="715"/>
      <c r="AR41" s="715" t="str">
        <f>メイン!N34</f>
        <v>-</v>
      </c>
      <c r="AS41" s="715"/>
      <c r="AT41" s="715"/>
    </row>
    <row r="42" spans="2:51" ht="39.950000000000003" customHeight="1" thickTop="1" thickBot="1">
      <c r="B42" s="739"/>
      <c r="C42" s="739"/>
      <c r="D42" s="690">
        <v>17</v>
      </c>
      <c r="E42" s="690"/>
      <c r="F42" s="615" t="str">
        <f ca="1">IF(OFFSET(削減率設定!$Q$4,$D42,0)="○","★","")</f>
        <v>★</v>
      </c>
      <c r="G42" s="616"/>
      <c r="H42" s="697" t="str">
        <f>メイン!E35</f>
        <v>空調運転時間の適正化</v>
      </c>
      <c r="I42" s="698"/>
      <c r="J42" s="698"/>
      <c r="K42" s="698"/>
      <c r="L42" s="698"/>
      <c r="M42" s="698"/>
      <c r="N42" s="698"/>
      <c r="O42" s="698"/>
      <c r="P42" s="698"/>
      <c r="Q42" s="698"/>
      <c r="R42" s="698"/>
      <c r="S42" s="740" t="str">
        <f>メイン!F35</f>
        <v>事務室の室使用時刻に合わせて起動運転､停止</v>
      </c>
      <c r="T42" s="740"/>
      <c r="U42" s="740"/>
      <c r="V42" s="740"/>
      <c r="W42" s="740"/>
      <c r="X42" s="740"/>
      <c r="Y42" s="740"/>
      <c r="Z42" s="740"/>
      <c r="AA42" s="740"/>
      <c r="AB42" s="740"/>
      <c r="AC42" s="740"/>
      <c r="AD42" s="740"/>
      <c r="AE42" s="740"/>
      <c r="AF42" s="740"/>
      <c r="AG42" s="376"/>
      <c r="AH42" s="665"/>
      <c r="AI42" s="666"/>
      <c r="AJ42" s="666"/>
      <c r="AK42" s="667"/>
      <c r="AL42" s="717" t="str">
        <f ca="1">メイン!L35</f>
        <v>-</v>
      </c>
      <c r="AM42" s="717"/>
      <c r="AN42" s="717"/>
      <c r="AO42" s="715" t="str">
        <f ca="1">メイン!M35</f>
        <v>-</v>
      </c>
      <c r="AP42" s="715"/>
      <c r="AQ42" s="715"/>
      <c r="AR42" s="715" t="str">
        <f>メイン!N35</f>
        <v>-</v>
      </c>
      <c r="AS42" s="715"/>
      <c r="AT42" s="715"/>
    </row>
    <row r="43" spans="2:51" ht="39.950000000000003" customHeight="1" thickTop="1" thickBot="1">
      <c r="B43" s="739"/>
      <c r="C43" s="739"/>
      <c r="D43" s="690">
        <v>18</v>
      </c>
      <c r="E43" s="690"/>
      <c r="F43" s="615" t="str">
        <f ca="1">IF(OFFSET(削減率設定!$Q$4,$D43,0)="○","★","")</f>
        <v/>
      </c>
      <c r="G43" s="616"/>
      <c r="H43" s="697" t="str">
        <f>メイン!E36</f>
        <v>非使用室、時間の空調停止</v>
      </c>
      <c r="I43" s="698"/>
      <c r="J43" s="698"/>
      <c r="K43" s="698"/>
      <c r="L43" s="698"/>
      <c r="M43" s="698"/>
      <c r="N43" s="698"/>
      <c r="O43" s="698"/>
      <c r="P43" s="698"/>
      <c r="Q43" s="698"/>
      <c r="R43" s="698"/>
      <c r="S43" s="771" t="str">
        <f>メイン!F36</f>
        <v>オン・オフするルールの設定､周知､点検</v>
      </c>
      <c r="T43" s="771"/>
      <c r="U43" s="771"/>
      <c r="V43" s="771"/>
      <c r="W43" s="771"/>
      <c r="X43" s="771"/>
      <c r="Y43" s="771"/>
      <c r="Z43" s="771"/>
      <c r="AA43" s="771"/>
      <c r="AB43" s="771"/>
      <c r="AC43" s="771"/>
      <c r="AD43" s="771"/>
      <c r="AE43" s="771"/>
      <c r="AF43" s="771"/>
      <c r="AG43" s="376"/>
      <c r="AH43" s="665"/>
      <c r="AI43" s="666"/>
      <c r="AJ43" s="666"/>
      <c r="AK43" s="667"/>
      <c r="AL43" s="717" t="str">
        <f ca="1">メイン!L36</f>
        <v>-</v>
      </c>
      <c r="AM43" s="717"/>
      <c r="AN43" s="717"/>
      <c r="AO43" s="715" t="str">
        <f ca="1">メイン!M36</f>
        <v>-</v>
      </c>
      <c r="AP43" s="715"/>
      <c r="AQ43" s="715"/>
      <c r="AR43" s="715" t="str">
        <f>メイン!N36</f>
        <v>-</v>
      </c>
      <c r="AS43" s="715"/>
      <c r="AT43" s="715"/>
    </row>
    <row r="44" spans="2:51" ht="39.950000000000003" customHeight="1" thickTop="1" thickBot="1">
      <c r="B44" s="739"/>
      <c r="C44" s="739"/>
      <c r="D44" s="690">
        <v>19</v>
      </c>
      <c r="E44" s="690"/>
      <c r="F44" s="615" t="str">
        <f ca="1">IF(OFFSET(削減率設定!$Q$4,$D44,0)="○","★","")</f>
        <v/>
      </c>
      <c r="G44" s="616"/>
      <c r="H44" s="697" t="str">
        <f>メイン!E37</f>
        <v>空調運転開始時の外気導入停止</v>
      </c>
      <c r="I44" s="698"/>
      <c r="J44" s="698"/>
      <c r="K44" s="698"/>
      <c r="L44" s="698"/>
      <c r="M44" s="698"/>
      <c r="N44" s="698"/>
      <c r="O44" s="698"/>
      <c r="P44" s="698"/>
      <c r="Q44" s="698"/>
      <c r="R44" s="698"/>
      <c r="S44" s="740" t="str">
        <f>メイン!F37</f>
        <v>始業前の外気導入を抑制又は停止</v>
      </c>
      <c r="T44" s="740"/>
      <c r="U44" s="740"/>
      <c r="V44" s="740"/>
      <c r="W44" s="740"/>
      <c r="X44" s="740"/>
      <c r="Y44" s="740"/>
      <c r="Z44" s="740"/>
      <c r="AA44" s="740"/>
      <c r="AB44" s="740"/>
      <c r="AC44" s="740"/>
      <c r="AD44" s="740"/>
      <c r="AE44" s="740"/>
      <c r="AF44" s="740"/>
      <c r="AG44" s="376"/>
      <c r="AH44" s="665"/>
      <c r="AI44" s="666"/>
      <c r="AJ44" s="666"/>
      <c r="AK44" s="667"/>
      <c r="AL44" s="717" t="str">
        <f ca="1">メイン!L37</f>
        <v>-</v>
      </c>
      <c r="AM44" s="717"/>
      <c r="AN44" s="717"/>
      <c r="AO44" s="715" t="str">
        <f ca="1">メイン!M37</f>
        <v>-</v>
      </c>
      <c r="AP44" s="715"/>
      <c r="AQ44" s="715"/>
      <c r="AR44" s="715" t="str">
        <f>メイン!N37</f>
        <v>-</v>
      </c>
      <c r="AS44" s="715"/>
      <c r="AT44" s="715"/>
    </row>
    <row r="45" spans="2:51" ht="39.950000000000003" customHeight="1" thickTop="1" thickBot="1">
      <c r="B45" s="739"/>
      <c r="C45" s="739"/>
      <c r="D45" s="690">
        <v>20</v>
      </c>
      <c r="E45" s="690"/>
      <c r="F45" s="615" t="str">
        <f ca="1">IF(OFFSET(削減率設定!$Q$4,$D45,0)="○","★","")</f>
        <v/>
      </c>
      <c r="G45" s="616"/>
      <c r="H45" s="726" t="str">
        <f>メイン!E38</f>
        <v>空調設備のフィンコイル、フィルターの清掃</v>
      </c>
      <c r="I45" s="727"/>
      <c r="J45" s="727"/>
      <c r="K45" s="727"/>
      <c r="L45" s="727"/>
      <c r="M45" s="727"/>
      <c r="N45" s="727"/>
      <c r="O45" s="727"/>
      <c r="P45" s="727"/>
      <c r="Q45" s="727"/>
      <c r="R45" s="727"/>
      <c r="S45" s="769" t="str">
        <f>メイン!F38</f>
        <v>フィンコイル：1回/3年程度
フィルター：2回/年程度</v>
      </c>
      <c r="T45" s="769"/>
      <c r="U45" s="769"/>
      <c r="V45" s="769"/>
      <c r="W45" s="769"/>
      <c r="X45" s="769"/>
      <c r="Y45" s="769"/>
      <c r="Z45" s="769"/>
      <c r="AA45" s="769"/>
      <c r="AB45" s="769"/>
      <c r="AC45" s="769"/>
      <c r="AD45" s="769"/>
      <c r="AE45" s="769"/>
      <c r="AF45" s="769"/>
      <c r="AG45" s="376"/>
      <c r="AH45" s="665"/>
      <c r="AI45" s="666"/>
      <c r="AJ45" s="666"/>
      <c r="AK45" s="667"/>
      <c r="AL45" s="717" t="str">
        <f ca="1">メイン!L38</f>
        <v>-</v>
      </c>
      <c r="AM45" s="717"/>
      <c r="AN45" s="717"/>
      <c r="AO45" s="715" t="str">
        <f ca="1">メイン!M38</f>
        <v>-</v>
      </c>
      <c r="AP45" s="715"/>
      <c r="AQ45" s="715"/>
      <c r="AR45" s="715" t="str">
        <f>メイン!N38</f>
        <v>-</v>
      </c>
      <c r="AS45" s="715"/>
      <c r="AT45" s="715"/>
    </row>
    <row r="46" spans="2:51" ht="39.950000000000003" customHeight="1" thickTop="1" thickBot="1">
      <c r="B46" s="739" t="s">
        <v>468</v>
      </c>
      <c r="C46" s="739"/>
      <c r="D46" s="690">
        <v>21</v>
      </c>
      <c r="E46" s="690"/>
      <c r="F46" s="615" t="str">
        <f ca="1">IF(OFFSET(削減率設定!$Q$4,$D46,0)="○","★","")</f>
        <v/>
      </c>
      <c r="G46" s="616"/>
      <c r="H46" s="691" t="str">
        <f>メイン!E39</f>
        <v>空調スイッチの操作制限</v>
      </c>
      <c r="I46" s="692"/>
      <c r="J46" s="692"/>
      <c r="K46" s="692"/>
      <c r="L46" s="692"/>
      <c r="M46" s="692"/>
      <c r="N46" s="692"/>
      <c r="O46" s="692"/>
      <c r="P46" s="692"/>
      <c r="Q46" s="692"/>
      <c r="R46" s="692"/>
      <c r="S46" s="696" t="str">
        <f>メイン!F39</f>
        <v>・空調スイッチの温度変更範囲を制限
・室温が管理値となる設定温度に統一</v>
      </c>
      <c r="T46" s="696"/>
      <c r="U46" s="696"/>
      <c r="V46" s="696"/>
      <c r="W46" s="696"/>
      <c r="X46" s="696"/>
      <c r="Y46" s="696"/>
      <c r="Z46" s="696"/>
      <c r="AA46" s="696"/>
      <c r="AB46" s="696"/>
      <c r="AC46" s="696"/>
      <c r="AD46" s="696"/>
      <c r="AE46" s="696"/>
      <c r="AF46" s="696"/>
      <c r="AG46" s="376"/>
      <c r="AH46" s="665"/>
      <c r="AI46" s="666"/>
      <c r="AJ46" s="666"/>
      <c r="AK46" s="667"/>
      <c r="AL46" s="717" t="str">
        <f ca="1">メイン!L39</f>
        <v>-</v>
      </c>
      <c r="AM46" s="717"/>
      <c r="AN46" s="717"/>
      <c r="AO46" s="715" t="str">
        <f ca="1">メイン!M39</f>
        <v>-</v>
      </c>
      <c r="AP46" s="715"/>
      <c r="AQ46" s="715"/>
      <c r="AR46" s="715" t="str">
        <f>メイン!N39</f>
        <v>-</v>
      </c>
      <c r="AS46" s="715"/>
      <c r="AT46" s="715"/>
    </row>
    <row r="47" spans="2:51" ht="39.950000000000003" customHeight="1" thickTop="1" thickBot="1">
      <c r="B47" s="739"/>
      <c r="C47" s="739"/>
      <c r="D47" s="690">
        <v>22</v>
      </c>
      <c r="E47" s="690"/>
      <c r="F47" s="615" t="str">
        <f ca="1">IF(OFFSET(削減率設定!$Q$4,$D47,0)="○","★","")</f>
        <v>★</v>
      </c>
      <c r="G47" s="616"/>
      <c r="H47" s="697" t="str">
        <f>メイン!E40</f>
        <v>空調の範囲、オン・オフのルールを明確化</v>
      </c>
      <c r="I47" s="698"/>
      <c r="J47" s="698"/>
      <c r="K47" s="698"/>
      <c r="L47" s="698"/>
      <c r="M47" s="698"/>
      <c r="N47" s="698"/>
      <c r="O47" s="698"/>
      <c r="P47" s="698"/>
      <c r="Q47" s="698"/>
      <c r="R47" s="698"/>
      <c r="S47" s="771" t="str">
        <f>メイン!F40</f>
        <v>空調スイッチ付近に空調範囲図､オン・オフのルールを表示</v>
      </c>
      <c r="T47" s="771"/>
      <c r="U47" s="771"/>
      <c r="V47" s="771"/>
      <c r="W47" s="771"/>
      <c r="X47" s="771"/>
      <c r="Y47" s="771"/>
      <c r="Z47" s="771"/>
      <c r="AA47" s="771"/>
      <c r="AB47" s="771"/>
      <c r="AC47" s="771"/>
      <c r="AD47" s="771"/>
      <c r="AE47" s="771"/>
      <c r="AF47" s="771"/>
      <c r="AG47" s="376"/>
      <c r="AH47" s="665"/>
      <c r="AI47" s="666"/>
      <c r="AJ47" s="666"/>
      <c r="AK47" s="667"/>
      <c r="AL47" s="717" t="str">
        <f ca="1">メイン!L40</f>
        <v>-</v>
      </c>
      <c r="AM47" s="717"/>
      <c r="AN47" s="717"/>
      <c r="AO47" s="715" t="str">
        <f ca="1">メイン!M40</f>
        <v>-</v>
      </c>
      <c r="AP47" s="715"/>
      <c r="AQ47" s="715"/>
      <c r="AR47" s="715" t="str">
        <f>メイン!N40</f>
        <v>-</v>
      </c>
      <c r="AS47" s="715"/>
      <c r="AT47" s="715"/>
    </row>
    <row r="48" spans="2:51" ht="39.950000000000003" customHeight="1" thickTop="1" thickBot="1">
      <c r="B48" s="739"/>
      <c r="C48" s="739"/>
      <c r="D48" s="690">
        <v>23</v>
      </c>
      <c r="E48" s="690"/>
      <c r="F48" s="615" t="str">
        <f ca="1">IF(OFFSET(削減率設定!$Q$4,$D48,0)="○","★","")</f>
        <v/>
      </c>
      <c r="G48" s="616"/>
      <c r="H48" s="697" t="str">
        <f>メイン!E41</f>
        <v>パッケージ形空調機の風量調整</v>
      </c>
      <c r="I48" s="698"/>
      <c r="J48" s="698"/>
      <c r="K48" s="698"/>
      <c r="L48" s="698"/>
      <c r="M48" s="698"/>
      <c r="N48" s="698"/>
      <c r="O48" s="698"/>
      <c r="P48" s="698"/>
      <c r="Q48" s="698"/>
      <c r="R48" s="698"/>
      <c r="S48" s="740" t="str">
        <f>メイン!F41</f>
        <v>夏季は、運転効率のよい風量「強」や「自動」で運用</v>
      </c>
      <c r="T48" s="740"/>
      <c r="U48" s="740"/>
      <c r="V48" s="740"/>
      <c r="W48" s="740"/>
      <c r="X48" s="740"/>
      <c r="Y48" s="740"/>
      <c r="Z48" s="740"/>
      <c r="AA48" s="740"/>
      <c r="AB48" s="740"/>
      <c r="AC48" s="740"/>
      <c r="AD48" s="740"/>
      <c r="AE48" s="740"/>
      <c r="AF48" s="740"/>
      <c r="AG48" s="376"/>
      <c r="AH48" s="665"/>
      <c r="AI48" s="666"/>
      <c r="AJ48" s="666"/>
      <c r="AK48" s="667"/>
      <c r="AL48" s="717" t="str">
        <f ca="1">メイン!L41</f>
        <v>-</v>
      </c>
      <c r="AM48" s="717"/>
      <c r="AN48" s="717"/>
      <c r="AO48" s="715" t="str">
        <f ca="1">メイン!M41</f>
        <v>-</v>
      </c>
      <c r="AP48" s="715"/>
      <c r="AQ48" s="715"/>
      <c r="AR48" s="715" t="str">
        <f>メイン!N41</f>
        <v>-</v>
      </c>
      <c r="AS48" s="715"/>
      <c r="AT48" s="715"/>
    </row>
    <row r="49" spans="2:46" ht="39.950000000000003" customHeight="1" thickTop="1" thickBot="1">
      <c r="B49" s="739"/>
      <c r="C49" s="739"/>
      <c r="D49" s="690">
        <v>24</v>
      </c>
      <c r="E49" s="690"/>
      <c r="F49" s="615" t="str">
        <f ca="1">IF(OFFSET(削減率設定!$Q$4,$D49,0)="○","★","")</f>
        <v>★</v>
      </c>
      <c r="G49" s="616"/>
      <c r="H49" s="697" t="str">
        <f>メイン!E42</f>
        <v>空調室外機置き場の環境整備</v>
      </c>
      <c r="I49" s="698"/>
      <c r="J49" s="698"/>
      <c r="K49" s="698"/>
      <c r="L49" s="698"/>
      <c r="M49" s="698"/>
      <c r="N49" s="698"/>
      <c r="O49" s="698"/>
      <c r="P49" s="698"/>
      <c r="Q49" s="698"/>
      <c r="R49" s="698"/>
      <c r="S49" s="740" t="str">
        <f>メイン!F42</f>
        <v>空調室外機の設置状態を点検､改善（例：日よけ､ショートサーキット防止等）</v>
      </c>
      <c r="T49" s="740"/>
      <c r="U49" s="740"/>
      <c r="V49" s="740"/>
      <c r="W49" s="740"/>
      <c r="X49" s="740"/>
      <c r="Y49" s="740"/>
      <c r="Z49" s="740"/>
      <c r="AA49" s="740"/>
      <c r="AB49" s="740"/>
      <c r="AC49" s="740"/>
      <c r="AD49" s="740"/>
      <c r="AE49" s="740"/>
      <c r="AF49" s="740"/>
      <c r="AG49" s="376"/>
      <c r="AH49" s="665"/>
      <c r="AI49" s="666"/>
      <c r="AJ49" s="666"/>
      <c r="AK49" s="667"/>
      <c r="AL49" s="717" t="str">
        <f ca="1">メイン!L42</f>
        <v>-</v>
      </c>
      <c r="AM49" s="717"/>
      <c r="AN49" s="717"/>
      <c r="AO49" s="715" t="str">
        <f ca="1">メイン!M42</f>
        <v>-</v>
      </c>
      <c r="AP49" s="715"/>
      <c r="AQ49" s="715"/>
      <c r="AR49" s="715" t="str">
        <f>メイン!N42</f>
        <v>-</v>
      </c>
      <c r="AS49" s="715"/>
      <c r="AT49" s="715"/>
    </row>
    <row r="50" spans="2:46" ht="39.950000000000003" customHeight="1" thickTop="1" thickBot="1">
      <c r="B50" s="739"/>
      <c r="C50" s="739"/>
      <c r="D50" s="690">
        <v>25</v>
      </c>
      <c r="E50" s="690"/>
      <c r="F50" s="615" t="str">
        <f ca="1">IF(OFFSET(削減率設定!$Q$4,$D50,0)="○","★","")</f>
        <v/>
      </c>
      <c r="G50" s="616"/>
      <c r="H50" s="726" t="str">
        <f>メイン!E43</f>
        <v>パッケージ形空調機の省エネチューニングの実施</v>
      </c>
      <c r="I50" s="727"/>
      <c r="J50" s="727"/>
      <c r="K50" s="727"/>
      <c r="L50" s="727"/>
      <c r="M50" s="727"/>
      <c r="N50" s="727"/>
      <c r="O50" s="727"/>
      <c r="P50" s="727"/>
      <c r="Q50" s="727"/>
      <c r="R50" s="727"/>
      <c r="S50" s="769" t="str">
        <f>メイン!F43</f>
        <v>メーカー等による省エネチューニングの実施(例：冷媒蒸発温度設定の調整等）</v>
      </c>
      <c r="T50" s="769"/>
      <c r="U50" s="769"/>
      <c r="V50" s="769"/>
      <c r="W50" s="769"/>
      <c r="X50" s="769"/>
      <c r="Y50" s="769"/>
      <c r="Z50" s="769"/>
      <c r="AA50" s="769"/>
      <c r="AB50" s="769"/>
      <c r="AC50" s="769"/>
      <c r="AD50" s="769"/>
      <c r="AE50" s="769"/>
      <c r="AF50" s="769"/>
      <c r="AG50" s="376"/>
      <c r="AH50" s="665"/>
      <c r="AI50" s="666"/>
      <c r="AJ50" s="666"/>
      <c r="AK50" s="667"/>
      <c r="AL50" s="717" t="str">
        <f ca="1">メイン!L43</f>
        <v>-</v>
      </c>
      <c r="AM50" s="717"/>
      <c r="AN50" s="717"/>
      <c r="AO50" s="715" t="str">
        <f ca="1">メイン!M43</f>
        <v>-</v>
      </c>
      <c r="AP50" s="715"/>
      <c r="AQ50" s="715"/>
      <c r="AR50" s="715" t="str">
        <f>メイン!N43</f>
        <v>-</v>
      </c>
      <c r="AS50" s="715"/>
      <c r="AT50" s="715"/>
    </row>
    <row r="51" spans="2:46" ht="39.950000000000003" customHeight="1" thickTop="1" thickBot="1">
      <c r="B51" s="739" t="s">
        <v>469</v>
      </c>
      <c r="C51" s="739"/>
      <c r="D51" s="690">
        <v>26</v>
      </c>
      <c r="E51" s="690"/>
      <c r="F51" s="615" t="str">
        <f ca="1">IF(OFFSET(削減率設定!$Q$4,$D51,0)="○","★","")</f>
        <v/>
      </c>
      <c r="G51" s="616"/>
      <c r="H51" s="691" t="str">
        <f>メイン!E44</f>
        <v>冷水、温水出口温度の適正化</v>
      </c>
      <c r="I51" s="692"/>
      <c r="J51" s="692"/>
      <c r="K51" s="692"/>
      <c r="L51" s="692"/>
      <c r="M51" s="692"/>
      <c r="N51" s="692"/>
      <c r="O51" s="692"/>
      <c r="P51" s="692"/>
      <c r="Q51" s="692"/>
      <c r="R51" s="692"/>
      <c r="S51" s="696" t="str">
        <f>メイン!F44</f>
        <v>熱源機の冷温水出口温度を中間期に2～3℃緩和（例：冷水温度が夏季7℃の場合､中間期は9℃等）</v>
      </c>
      <c r="T51" s="696"/>
      <c r="U51" s="696"/>
      <c r="V51" s="696"/>
      <c r="W51" s="696"/>
      <c r="X51" s="696"/>
      <c r="Y51" s="696"/>
      <c r="Z51" s="696"/>
      <c r="AA51" s="696"/>
      <c r="AB51" s="696"/>
      <c r="AC51" s="696"/>
      <c r="AD51" s="696"/>
      <c r="AE51" s="696"/>
      <c r="AF51" s="696"/>
      <c r="AG51" s="377"/>
      <c r="AH51" s="665"/>
      <c r="AI51" s="666"/>
      <c r="AJ51" s="666"/>
      <c r="AK51" s="667"/>
      <c r="AL51" s="717" t="str">
        <f ca="1">メイン!L44</f>
        <v>-</v>
      </c>
      <c r="AM51" s="717"/>
      <c r="AN51" s="717"/>
      <c r="AO51" s="715" t="str">
        <f ca="1">メイン!M44</f>
        <v>-</v>
      </c>
      <c r="AP51" s="715"/>
      <c r="AQ51" s="715"/>
      <c r="AR51" s="715" t="str">
        <f>メイン!N44</f>
        <v>-</v>
      </c>
      <c r="AS51" s="715"/>
      <c r="AT51" s="715"/>
    </row>
    <row r="52" spans="2:46" ht="39.950000000000003" customHeight="1" thickTop="1" thickBot="1">
      <c r="B52" s="739"/>
      <c r="C52" s="739"/>
      <c r="D52" s="690">
        <v>27</v>
      </c>
      <c r="E52" s="690"/>
      <c r="F52" s="615" t="str">
        <f ca="1">IF(OFFSET(削減率設定!$Q$4,$D52,0)="○","★","")</f>
        <v/>
      </c>
      <c r="G52" s="616"/>
      <c r="H52" s="697" t="str">
        <f>メイン!E45</f>
        <v>冷却水温度の適正化</v>
      </c>
      <c r="I52" s="698"/>
      <c r="J52" s="698"/>
      <c r="K52" s="698"/>
      <c r="L52" s="698"/>
      <c r="M52" s="698"/>
      <c r="N52" s="698"/>
      <c r="O52" s="698"/>
      <c r="P52" s="698"/>
      <c r="Q52" s="698"/>
      <c r="R52" s="698"/>
      <c r="S52" s="740" t="str">
        <f>メイン!F45</f>
        <v>冷凍機の仕様に応じた冷却水温度の設定 （冷凍機の冷却水下限温度を目安に調整）</v>
      </c>
      <c r="T52" s="740"/>
      <c r="U52" s="740"/>
      <c r="V52" s="740"/>
      <c r="W52" s="740"/>
      <c r="X52" s="740"/>
      <c r="Y52" s="740"/>
      <c r="Z52" s="740"/>
      <c r="AA52" s="740"/>
      <c r="AB52" s="740"/>
      <c r="AC52" s="740"/>
      <c r="AD52" s="740"/>
      <c r="AE52" s="740"/>
      <c r="AF52" s="740"/>
      <c r="AG52" s="376"/>
      <c r="AH52" s="665"/>
      <c r="AI52" s="666"/>
      <c r="AJ52" s="666"/>
      <c r="AK52" s="667"/>
      <c r="AL52" s="717" t="str">
        <f ca="1">メイン!L45</f>
        <v>-</v>
      </c>
      <c r="AM52" s="717"/>
      <c r="AN52" s="717"/>
      <c r="AO52" s="715" t="str">
        <f ca="1">メイン!M45</f>
        <v>-</v>
      </c>
      <c r="AP52" s="715"/>
      <c r="AQ52" s="715"/>
      <c r="AR52" s="715" t="str">
        <f>メイン!N45</f>
        <v>-</v>
      </c>
      <c r="AS52" s="715"/>
      <c r="AT52" s="715"/>
    </row>
    <row r="53" spans="2:46" ht="39.950000000000003" customHeight="1" thickTop="1" thickBot="1">
      <c r="B53" s="739"/>
      <c r="C53" s="739"/>
      <c r="D53" s="690">
        <v>28</v>
      </c>
      <c r="E53" s="690"/>
      <c r="F53" s="615" t="str">
        <f ca="1">IF(OFFSET(削減率設定!$Q$4,$D53,0)="○","★","")</f>
        <v>★</v>
      </c>
      <c r="G53" s="616"/>
      <c r="H53" s="697" t="str">
        <f>メイン!E46</f>
        <v>熱源機の運転時間の適正化</v>
      </c>
      <c r="I53" s="698"/>
      <c r="J53" s="698"/>
      <c r="K53" s="698"/>
      <c r="L53" s="698"/>
      <c r="M53" s="698"/>
      <c r="N53" s="698"/>
      <c r="O53" s="698"/>
      <c r="P53" s="698"/>
      <c r="Q53" s="698"/>
      <c r="R53" s="698"/>
      <c r="S53" s="740" t="str">
        <f>メイン!F46</f>
        <v>運転開始時：予熱時間の短縮
停止時： 空調停止の15分程度前に熱源機停止</v>
      </c>
      <c r="T53" s="740"/>
      <c r="U53" s="740"/>
      <c r="V53" s="740"/>
      <c r="W53" s="740"/>
      <c r="X53" s="740"/>
      <c r="Y53" s="740"/>
      <c r="Z53" s="740"/>
      <c r="AA53" s="740"/>
      <c r="AB53" s="740"/>
      <c r="AC53" s="740"/>
      <c r="AD53" s="740"/>
      <c r="AE53" s="740"/>
      <c r="AF53" s="740"/>
      <c r="AG53" s="376"/>
      <c r="AH53" s="665"/>
      <c r="AI53" s="666"/>
      <c r="AJ53" s="666"/>
      <c r="AK53" s="667"/>
      <c r="AL53" s="717" t="str">
        <f ca="1">メイン!L46</f>
        <v>-</v>
      </c>
      <c r="AM53" s="717"/>
      <c r="AN53" s="717"/>
      <c r="AO53" s="715" t="str">
        <f ca="1">メイン!M46</f>
        <v>-</v>
      </c>
      <c r="AP53" s="715"/>
      <c r="AQ53" s="715"/>
      <c r="AR53" s="715" t="str">
        <f>メイン!N46</f>
        <v>-</v>
      </c>
      <c r="AS53" s="715"/>
      <c r="AT53" s="715"/>
    </row>
    <row r="54" spans="2:46" ht="39.950000000000003" customHeight="1" thickTop="1" thickBot="1">
      <c r="B54" s="739"/>
      <c r="C54" s="739"/>
      <c r="D54" s="690">
        <v>29</v>
      </c>
      <c r="E54" s="690"/>
      <c r="F54" s="615" t="str">
        <f ca="1">IF(OFFSET(削減率設定!$Q$4,$D54,0)="○","★","")</f>
        <v/>
      </c>
      <c r="G54" s="616"/>
      <c r="H54" s="697" t="str">
        <f>メイン!E47</f>
        <v>熱源機器の運転台数の適正化</v>
      </c>
      <c r="I54" s="698"/>
      <c r="J54" s="698"/>
      <c r="K54" s="698"/>
      <c r="L54" s="698"/>
      <c r="M54" s="698"/>
      <c r="N54" s="698"/>
      <c r="O54" s="698"/>
      <c r="P54" s="698"/>
      <c r="Q54" s="698"/>
      <c r="R54" s="698"/>
      <c r="S54" s="740" t="str">
        <f>メイン!F47</f>
        <v>空調負荷に応じた熱源機器の運転パターンの把握､調整</v>
      </c>
      <c r="T54" s="740"/>
      <c r="U54" s="740"/>
      <c r="V54" s="740"/>
      <c r="W54" s="740"/>
      <c r="X54" s="740"/>
      <c r="Y54" s="740"/>
      <c r="Z54" s="740"/>
      <c r="AA54" s="740"/>
      <c r="AB54" s="740"/>
      <c r="AC54" s="740"/>
      <c r="AD54" s="740"/>
      <c r="AE54" s="740"/>
      <c r="AF54" s="740"/>
      <c r="AG54" s="376"/>
      <c r="AH54" s="665"/>
      <c r="AI54" s="666"/>
      <c r="AJ54" s="666"/>
      <c r="AK54" s="667"/>
      <c r="AL54" s="717" t="str">
        <f ca="1">メイン!L47</f>
        <v>-</v>
      </c>
      <c r="AM54" s="717"/>
      <c r="AN54" s="717"/>
      <c r="AO54" s="715" t="str">
        <f ca="1">メイン!M47</f>
        <v>-</v>
      </c>
      <c r="AP54" s="715"/>
      <c r="AQ54" s="715"/>
      <c r="AR54" s="715" t="str">
        <f>メイン!N47</f>
        <v>-</v>
      </c>
      <c r="AS54" s="715"/>
      <c r="AT54" s="715"/>
    </row>
    <row r="55" spans="2:46" ht="39.950000000000003" customHeight="1" thickTop="1" thickBot="1">
      <c r="B55" s="739"/>
      <c r="C55" s="739"/>
      <c r="D55" s="690">
        <v>30</v>
      </c>
      <c r="E55" s="690"/>
      <c r="F55" s="615" t="str">
        <f ca="1">IF(OFFSET(削減率設定!$Q$4,$D55,0)="○","★","")</f>
        <v>★</v>
      </c>
      <c r="G55" s="616"/>
      <c r="H55" s="697" t="str">
        <f>メイン!E48</f>
        <v>燃焼設備の空気比改善</v>
      </c>
      <c r="I55" s="698"/>
      <c r="J55" s="698"/>
      <c r="K55" s="698"/>
      <c r="L55" s="698"/>
      <c r="M55" s="698"/>
      <c r="N55" s="698"/>
      <c r="O55" s="698"/>
      <c r="P55" s="698"/>
      <c r="Q55" s="698"/>
      <c r="R55" s="698"/>
      <c r="S55" s="740" t="str">
        <f>メイン!F48</f>
        <v>空気比を適正に管理､基準空気比以下となるように調整（基準空気比の例：1.25-1.4）</v>
      </c>
      <c r="T55" s="740"/>
      <c r="U55" s="740"/>
      <c r="V55" s="740"/>
      <c r="W55" s="740"/>
      <c r="X55" s="740"/>
      <c r="Y55" s="740"/>
      <c r="Z55" s="740"/>
      <c r="AA55" s="740"/>
      <c r="AB55" s="740"/>
      <c r="AC55" s="740"/>
      <c r="AD55" s="740"/>
      <c r="AE55" s="740"/>
      <c r="AF55" s="740"/>
      <c r="AG55" s="376"/>
      <c r="AH55" s="665"/>
      <c r="AI55" s="666"/>
      <c r="AJ55" s="666"/>
      <c r="AK55" s="667"/>
      <c r="AL55" s="717" t="str">
        <f ca="1">メイン!L48</f>
        <v>-</v>
      </c>
      <c r="AM55" s="717"/>
      <c r="AN55" s="717"/>
      <c r="AO55" s="715" t="str">
        <f ca="1">メイン!M48</f>
        <v>-</v>
      </c>
      <c r="AP55" s="715"/>
      <c r="AQ55" s="715"/>
      <c r="AR55" s="715" t="str">
        <f>メイン!N48</f>
        <v>-</v>
      </c>
      <c r="AS55" s="715"/>
      <c r="AT55" s="715"/>
    </row>
    <row r="56" spans="2:46" ht="39.950000000000003" customHeight="1" thickTop="1" thickBot="1">
      <c r="B56" s="739"/>
      <c r="C56" s="739"/>
      <c r="D56" s="690">
        <v>31</v>
      </c>
      <c r="E56" s="690"/>
      <c r="F56" s="615" t="str">
        <f ca="1">IF(OFFSET(削減率設定!$Q$4,$D56,0)="○","★","")</f>
        <v/>
      </c>
      <c r="G56" s="616"/>
      <c r="H56" s="697" t="str">
        <f>メイン!E49</f>
        <v>空調用ポンプの運転台数の適正化</v>
      </c>
      <c r="I56" s="698"/>
      <c r="J56" s="698"/>
      <c r="K56" s="698"/>
      <c r="L56" s="698"/>
      <c r="M56" s="698"/>
      <c r="N56" s="698"/>
      <c r="O56" s="698"/>
      <c r="P56" s="698"/>
      <c r="Q56" s="698"/>
      <c r="R56" s="698"/>
      <c r="S56" s="740" t="str">
        <f>メイン!F49</f>
        <v>空調負荷に応じた空調２次ポンプの運転パターンの把握､調整</v>
      </c>
      <c r="T56" s="740"/>
      <c r="U56" s="740"/>
      <c r="V56" s="740"/>
      <c r="W56" s="740"/>
      <c r="X56" s="740"/>
      <c r="Y56" s="740"/>
      <c r="Z56" s="740"/>
      <c r="AA56" s="740"/>
      <c r="AB56" s="740"/>
      <c r="AC56" s="740"/>
      <c r="AD56" s="740"/>
      <c r="AE56" s="740"/>
      <c r="AF56" s="740"/>
      <c r="AG56" s="376"/>
      <c r="AH56" s="665"/>
      <c r="AI56" s="666"/>
      <c r="AJ56" s="666"/>
      <c r="AK56" s="667"/>
      <c r="AL56" s="717" t="str">
        <f ca="1">メイン!L49</f>
        <v>-</v>
      </c>
      <c r="AM56" s="717"/>
      <c r="AN56" s="717"/>
      <c r="AO56" s="715" t="str">
        <f ca="1">メイン!M49</f>
        <v>-</v>
      </c>
      <c r="AP56" s="715"/>
      <c r="AQ56" s="715"/>
      <c r="AR56" s="715" t="str">
        <f>メイン!N49</f>
        <v>-</v>
      </c>
      <c r="AS56" s="715"/>
      <c r="AT56" s="715"/>
    </row>
    <row r="57" spans="2:46" ht="39.950000000000003" customHeight="1" thickTop="1" thickBot="1">
      <c r="B57" s="739"/>
      <c r="C57" s="739"/>
      <c r="D57" s="690">
        <v>32</v>
      </c>
      <c r="E57" s="690"/>
      <c r="F57" s="615" t="str">
        <f ca="1">IF(OFFSET(削減率設定!$Q$4,$D57,0)="○","★","")</f>
        <v/>
      </c>
      <c r="G57" s="616"/>
      <c r="H57" s="697" t="str">
        <f>メイン!E50</f>
        <v>ポンプの流量の適正化</v>
      </c>
      <c r="I57" s="698"/>
      <c r="J57" s="698"/>
      <c r="K57" s="698"/>
      <c r="L57" s="698"/>
      <c r="M57" s="698"/>
      <c r="N57" s="698"/>
      <c r="O57" s="698"/>
      <c r="P57" s="698"/>
      <c r="Q57" s="698"/>
      <c r="R57" s="698"/>
      <c r="S57" s="740" t="str">
        <f>メイン!F50</f>
        <v>必要流量に応じてバルブやインバータにより流量を調整</v>
      </c>
      <c r="T57" s="740"/>
      <c r="U57" s="740"/>
      <c r="V57" s="740"/>
      <c r="W57" s="740"/>
      <c r="X57" s="740"/>
      <c r="Y57" s="740"/>
      <c r="Z57" s="740"/>
      <c r="AA57" s="740"/>
      <c r="AB57" s="740"/>
      <c r="AC57" s="740"/>
      <c r="AD57" s="740"/>
      <c r="AE57" s="740"/>
      <c r="AF57" s="740"/>
      <c r="AG57" s="376"/>
      <c r="AH57" s="665"/>
      <c r="AI57" s="666"/>
      <c r="AJ57" s="666"/>
      <c r="AK57" s="667"/>
      <c r="AL57" s="717" t="str">
        <f ca="1">メイン!L50</f>
        <v>-</v>
      </c>
      <c r="AM57" s="717"/>
      <c r="AN57" s="717"/>
      <c r="AO57" s="715" t="str">
        <f ca="1">メイン!M50</f>
        <v>-</v>
      </c>
      <c r="AP57" s="715"/>
      <c r="AQ57" s="715"/>
      <c r="AR57" s="715" t="str">
        <f>メイン!N50</f>
        <v>-</v>
      </c>
      <c r="AS57" s="715"/>
      <c r="AT57" s="715"/>
    </row>
    <row r="58" spans="2:46" ht="39.950000000000003" customHeight="1" thickTop="1" thickBot="1">
      <c r="B58" s="739"/>
      <c r="C58" s="739"/>
      <c r="D58" s="690">
        <v>33</v>
      </c>
      <c r="E58" s="690"/>
      <c r="F58" s="615" t="str">
        <f ca="1">IF(OFFSET(削減率設定!$Q$4,$D58,0)="○","★","")</f>
        <v/>
      </c>
      <c r="G58" s="616"/>
      <c r="H58" s="697" t="str">
        <f>メイン!E51</f>
        <v>ファンの風量の適正化</v>
      </c>
      <c r="I58" s="698"/>
      <c r="J58" s="698"/>
      <c r="K58" s="698"/>
      <c r="L58" s="698"/>
      <c r="M58" s="698"/>
      <c r="N58" s="698"/>
      <c r="O58" s="698"/>
      <c r="P58" s="698"/>
      <c r="Q58" s="698"/>
      <c r="R58" s="698"/>
      <c r="S58" s="740" t="str">
        <f>メイン!F51</f>
        <v>必要風量に応じてダンパやインバータにより風量を調整</v>
      </c>
      <c r="T58" s="740"/>
      <c r="U58" s="740"/>
      <c r="V58" s="740"/>
      <c r="W58" s="740"/>
      <c r="X58" s="740"/>
      <c r="Y58" s="740"/>
      <c r="Z58" s="740"/>
      <c r="AA58" s="740"/>
      <c r="AB58" s="740"/>
      <c r="AC58" s="740"/>
      <c r="AD58" s="740"/>
      <c r="AE58" s="740"/>
      <c r="AF58" s="740"/>
      <c r="AG58" s="376"/>
      <c r="AH58" s="665"/>
      <c r="AI58" s="666"/>
      <c r="AJ58" s="666"/>
      <c r="AK58" s="667"/>
      <c r="AL58" s="717" t="str">
        <f ca="1">メイン!L51</f>
        <v>-</v>
      </c>
      <c r="AM58" s="717"/>
      <c r="AN58" s="717"/>
      <c r="AO58" s="715" t="str">
        <f ca="1">メイン!M51</f>
        <v>-</v>
      </c>
      <c r="AP58" s="715"/>
      <c r="AQ58" s="715"/>
      <c r="AR58" s="715" t="str">
        <f>メイン!N51</f>
        <v>-</v>
      </c>
      <c r="AS58" s="715"/>
      <c r="AT58" s="715"/>
    </row>
    <row r="59" spans="2:46" ht="39.950000000000003" customHeight="1" thickTop="1" thickBot="1">
      <c r="B59" s="739"/>
      <c r="C59" s="739"/>
      <c r="D59" s="690">
        <v>34</v>
      </c>
      <c r="E59" s="690"/>
      <c r="F59" s="615" t="str">
        <f ca="1">IF(OFFSET(削減率設定!$Q$4,$D59,0)="○","★","")</f>
        <v/>
      </c>
      <c r="G59" s="616"/>
      <c r="H59" s="697" t="str">
        <f>メイン!E52</f>
        <v>冷温水、蒸気配管等の保温対策の徹底</v>
      </c>
      <c r="I59" s="698"/>
      <c r="J59" s="698"/>
      <c r="K59" s="698"/>
      <c r="L59" s="698"/>
      <c r="M59" s="698"/>
      <c r="N59" s="698"/>
      <c r="O59" s="698"/>
      <c r="P59" s="698"/>
      <c r="Q59" s="698"/>
      <c r="R59" s="698"/>
      <c r="S59" s="740" t="str">
        <f>メイン!F52</f>
        <v>冷温水､蒸気の配管､バルブ､フランジ部の保温状態のチェック､改善</v>
      </c>
      <c r="T59" s="740"/>
      <c r="U59" s="740"/>
      <c r="V59" s="740"/>
      <c r="W59" s="740"/>
      <c r="X59" s="740"/>
      <c r="Y59" s="740"/>
      <c r="Z59" s="740"/>
      <c r="AA59" s="740"/>
      <c r="AB59" s="740"/>
      <c r="AC59" s="740"/>
      <c r="AD59" s="740"/>
      <c r="AE59" s="740"/>
      <c r="AF59" s="740"/>
      <c r="AG59" s="376"/>
      <c r="AH59" s="665"/>
      <c r="AI59" s="666"/>
      <c r="AJ59" s="666"/>
      <c r="AK59" s="667"/>
      <c r="AL59" s="717" t="str">
        <f ca="1">メイン!L52</f>
        <v>-</v>
      </c>
      <c r="AM59" s="717"/>
      <c r="AN59" s="717"/>
      <c r="AO59" s="715" t="str">
        <f ca="1">メイン!M52</f>
        <v>-</v>
      </c>
      <c r="AP59" s="715"/>
      <c r="AQ59" s="715"/>
      <c r="AR59" s="715" t="str">
        <f>メイン!N52</f>
        <v>-</v>
      </c>
      <c r="AS59" s="715"/>
      <c r="AT59" s="715"/>
    </row>
    <row r="60" spans="2:46" ht="39.950000000000003" customHeight="1" thickTop="1" thickBot="1">
      <c r="B60" s="739"/>
      <c r="C60" s="739"/>
      <c r="D60" s="690">
        <v>35</v>
      </c>
      <c r="E60" s="690"/>
      <c r="F60" s="615" t="str">
        <f ca="1">IF(OFFSET(削減率設定!$Q$4,$D60,0)="○","★","")</f>
        <v/>
      </c>
      <c r="G60" s="616"/>
      <c r="H60" s="726" t="str">
        <f>メイン!E53</f>
        <v>蒸気トラップの点検、補修</v>
      </c>
      <c r="I60" s="727"/>
      <c r="J60" s="727"/>
      <c r="K60" s="727"/>
      <c r="L60" s="727"/>
      <c r="M60" s="727"/>
      <c r="N60" s="727"/>
      <c r="O60" s="727"/>
      <c r="P60" s="727"/>
      <c r="Q60" s="727"/>
      <c r="R60" s="727"/>
      <c r="S60" s="769" t="str">
        <f>メイン!F53</f>
        <v>定期的に点検､補修</v>
      </c>
      <c r="T60" s="769"/>
      <c r="U60" s="769"/>
      <c r="V60" s="769"/>
      <c r="W60" s="769"/>
      <c r="X60" s="769"/>
      <c r="Y60" s="769"/>
      <c r="Z60" s="769"/>
      <c r="AA60" s="769"/>
      <c r="AB60" s="769"/>
      <c r="AC60" s="769"/>
      <c r="AD60" s="769"/>
      <c r="AE60" s="769"/>
      <c r="AF60" s="769"/>
      <c r="AG60" s="376"/>
      <c r="AH60" s="665"/>
      <c r="AI60" s="666"/>
      <c r="AJ60" s="666"/>
      <c r="AK60" s="667"/>
      <c r="AL60" s="717" t="str">
        <f ca="1">メイン!L53</f>
        <v>-</v>
      </c>
      <c r="AM60" s="717"/>
      <c r="AN60" s="717"/>
      <c r="AO60" s="715" t="str">
        <f ca="1">メイン!M53</f>
        <v>-</v>
      </c>
      <c r="AP60" s="715"/>
      <c r="AQ60" s="715"/>
      <c r="AR60" s="715" t="str">
        <f>メイン!N53</f>
        <v>-</v>
      </c>
      <c r="AS60" s="715"/>
      <c r="AT60" s="715"/>
    </row>
    <row r="61" spans="2:46" ht="39.950000000000003" customHeight="1" thickTop="1" thickBot="1">
      <c r="B61" s="731" t="s">
        <v>122</v>
      </c>
      <c r="C61" s="731"/>
      <c r="D61" s="701">
        <v>36</v>
      </c>
      <c r="E61" s="701"/>
      <c r="F61" s="617" t="str">
        <f ca="1">IF(OFFSET(削減率設定!$Q$4,$D61,0)="○","★","")</f>
        <v>★</v>
      </c>
      <c r="G61" s="618"/>
      <c r="H61" s="734" t="str">
        <f>メイン!E54</f>
        <v>CO２濃度管理による外気取入量の削減</v>
      </c>
      <c r="I61" s="735"/>
      <c r="J61" s="735"/>
      <c r="K61" s="735"/>
      <c r="L61" s="735"/>
      <c r="M61" s="735"/>
      <c r="N61" s="735"/>
      <c r="O61" s="735"/>
      <c r="P61" s="735"/>
      <c r="Q61" s="735"/>
      <c r="R61" s="735"/>
      <c r="S61" s="768" t="str">
        <f>メイン!F54</f>
        <v>CO2濃度800ppm程度に外気取入量を調整</v>
      </c>
      <c r="T61" s="768"/>
      <c r="U61" s="768"/>
      <c r="V61" s="768"/>
      <c r="W61" s="768"/>
      <c r="X61" s="768"/>
      <c r="Y61" s="768"/>
      <c r="Z61" s="768"/>
      <c r="AA61" s="768"/>
      <c r="AB61" s="768"/>
      <c r="AC61" s="768"/>
      <c r="AD61" s="768"/>
      <c r="AE61" s="768"/>
      <c r="AF61" s="768"/>
      <c r="AG61" s="376"/>
      <c r="AH61" s="665"/>
      <c r="AI61" s="666"/>
      <c r="AJ61" s="666"/>
      <c r="AK61" s="667"/>
      <c r="AL61" s="717" t="str">
        <f ca="1">メイン!L54</f>
        <v>-</v>
      </c>
      <c r="AM61" s="717"/>
      <c r="AN61" s="717"/>
      <c r="AO61" s="715" t="str">
        <f ca="1">メイン!M54</f>
        <v>-</v>
      </c>
      <c r="AP61" s="715"/>
      <c r="AQ61" s="715"/>
      <c r="AR61" s="715" t="str">
        <f>メイン!N54</f>
        <v>-</v>
      </c>
      <c r="AS61" s="715"/>
      <c r="AT61" s="715"/>
    </row>
    <row r="62" spans="2:46" ht="39.950000000000003" customHeight="1" thickTop="1" thickBot="1">
      <c r="B62" s="731"/>
      <c r="C62" s="731"/>
      <c r="D62" s="701">
        <v>37</v>
      </c>
      <c r="E62" s="701"/>
      <c r="F62" s="617" t="str">
        <f ca="1">IF(OFFSET(削減率設定!$Q$4,$D62,0)="○","★","")</f>
        <v/>
      </c>
      <c r="G62" s="618"/>
      <c r="H62" s="732" t="str">
        <f>メイン!E55</f>
        <v>給排気量バランスの適正化</v>
      </c>
      <c r="I62" s="733"/>
      <c r="J62" s="733"/>
      <c r="K62" s="733"/>
      <c r="L62" s="733"/>
      <c r="M62" s="733"/>
      <c r="N62" s="733"/>
      <c r="O62" s="733"/>
      <c r="P62" s="733"/>
      <c r="Q62" s="733"/>
      <c r="R62" s="733"/>
      <c r="S62" s="729" t="str">
        <f>メイン!F55</f>
        <v>建物全体が負圧又は過度な正圧にならないように給排気量を調整</v>
      </c>
      <c r="T62" s="729"/>
      <c r="U62" s="729"/>
      <c r="V62" s="729"/>
      <c r="W62" s="729"/>
      <c r="X62" s="729"/>
      <c r="Y62" s="729"/>
      <c r="Z62" s="729"/>
      <c r="AA62" s="729"/>
      <c r="AB62" s="729"/>
      <c r="AC62" s="729"/>
      <c r="AD62" s="729"/>
      <c r="AE62" s="729"/>
      <c r="AF62" s="729"/>
      <c r="AG62" s="376"/>
      <c r="AH62" s="665"/>
      <c r="AI62" s="666"/>
      <c r="AJ62" s="666"/>
      <c r="AK62" s="667"/>
      <c r="AL62" s="717" t="str">
        <f ca="1">メイン!L55</f>
        <v>-</v>
      </c>
      <c r="AM62" s="717"/>
      <c r="AN62" s="717"/>
      <c r="AO62" s="715" t="str">
        <f ca="1">メイン!M55</f>
        <v>-</v>
      </c>
      <c r="AP62" s="715"/>
      <c r="AQ62" s="715"/>
      <c r="AR62" s="715" t="str">
        <f>メイン!N55</f>
        <v>-</v>
      </c>
      <c r="AS62" s="715"/>
      <c r="AT62" s="715"/>
    </row>
    <row r="63" spans="2:46" ht="39.950000000000003" customHeight="1" thickTop="1" thickBot="1">
      <c r="B63" s="731"/>
      <c r="C63" s="731"/>
      <c r="D63" s="701">
        <v>38</v>
      </c>
      <c r="E63" s="701"/>
      <c r="F63" s="617" t="str">
        <f ca="1">IF(OFFSET(削減率設定!$Q$4,$D63,0)="○","★","")</f>
        <v/>
      </c>
      <c r="G63" s="618"/>
      <c r="H63" s="732" t="str">
        <f>メイン!E56</f>
        <v>外気冷房の活用</v>
      </c>
      <c r="I63" s="733"/>
      <c r="J63" s="733"/>
      <c r="K63" s="733"/>
      <c r="L63" s="733"/>
      <c r="M63" s="733"/>
      <c r="N63" s="733"/>
      <c r="O63" s="733"/>
      <c r="P63" s="733"/>
      <c r="Q63" s="733"/>
      <c r="R63" s="733"/>
      <c r="S63" s="729" t="str">
        <f>メイン!F56</f>
        <v>・外気を活用して中間期､冬季の冷房負荷を低減
・熱源停止や扉､窓開放ルールの設定､周知､点検</v>
      </c>
      <c r="T63" s="729"/>
      <c r="U63" s="729"/>
      <c r="V63" s="729"/>
      <c r="W63" s="729"/>
      <c r="X63" s="729"/>
      <c r="Y63" s="729"/>
      <c r="Z63" s="729"/>
      <c r="AA63" s="729"/>
      <c r="AB63" s="729"/>
      <c r="AC63" s="729"/>
      <c r="AD63" s="729"/>
      <c r="AE63" s="729"/>
      <c r="AF63" s="729"/>
      <c r="AG63" s="376"/>
      <c r="AH63" s="665"/>
      <c r="AI63" s="666"/>
      <c r="AJ63" s="666"/>
      <c r="AK63" s="667"/>
      <c r="AL63" s="717" t="str">
        <f ca="1">メイン!L56</f>
        <v>-</v>
      </c>
      <c r="AM63" s="717"/>
      <c r="AN63" s="717"/>
      <c r="AO63" s="715" t="str">
        <f ca="1">メイン!M56</f>
        <v>-</v>
      </c>
      <c r="AP63" s="715"/>
      <c r="AQ63" s="715"/>
      <c r="AR63" s="715" t="str">
        <f>メイン!N56</f>
        <v>-</v>
      </c>
      <c r="AS63" s="715"/>
      <c r="AT63" s="715"/>
    </row>
    <row r="64" spans="2:46" ht="39.950000000000003" customHeight="1" thickTop="1" thickBot="1">
      <c r="B64" s="731"/>
      <c r="C64" s="731"/>
      <c r="D64" s="701">
        <v>39</v>
      </c>
      <c r="E64" s="701"/>
      <c r="F64" s="617" t="str">
        <f ca="1">IF(OFFSET(削減率設定!$Q$4,$D64,0)="○","★","")</f>
        <v/>
      </c>
      <c r="G64" s="618"/>
      <c r="H64" s="732" t="str">
        <f>メイン!E57</f>
        <v>夜間、早朝の外気活用（ナイトパージ）</v>
      </c>
      <c r="I64" s="733"/>
      <c r="J64" s="733"/>
      <c r="K64" s="733"/>
      <c r="L64" s="733"/>
      <c r="M64" s="733"/>
      <c r="N64" s="733"/>
      <c r="O64" s="733"/>
      <c r="P64" s="733"/>
      <c r="Q64" s="733"/>
      <c r="R64" s="733"/>
      <c r="S64" s="729" t="str">
        <f>メイン!F57</f>
        <v>・夜間､早朝の外気を活用して冷房負荷を低減
・外気取入れルールの設定､周知､点検</v>
      </c>
      <c r="T64" s="729"/>
      <c r="U64" s="729"/>
      <c r="V64" s="729"/>
      <c r="W64" s="729"/>
      <c r="X64" s="729"/>
      <c r="Y64" s="729"/>
      <c r="Z64" s="729"/>
      <c r="AA64" s="729"/>
      <c r="AB64" s="729"/>
      <c r="AC64" s="729"/>
      <c r="AD64" s="729"/>
      <c r="AE64" s="729"/>
      <c r="AF64" s="729"/>
      <c r="AG64" s="376"/>
      <c r="AH64" s="665"/>
      <c r="AI64" s="666"/>
      <c r="AJ64" s="666"/>
      <c r="AK64" s="667"/>
      <c r="AL64" s="717" t="str">
        <f ca="1">メイン!L57</f>
        <v>-</v>
      </c>
      <c r="AM64" s="717"/>
      <c r="AN64" s="717"/>
      <c r="AO64" s="715" t="str">
        <f ca="1">メイン!M57</f>
        <v>-</v>
      </c>
      <c r="AP64" s="715"/>
      <c r="AQ64" s="715"/>
      <c r="AR64" s="715" t="str">
        <f>メイン!N57</f>
        <v>-</v>
      </c>
      <c r="AS64" s="715"/>
      <c r="AT64" s="715"/>
    </row>
    <row r="65" spans="2:46" ht="39.950000000000003" customHeight="1" thickTop="1" thickBot="1">
      <c r="B65" s="731"/>
      <c r="C65" s="731"/>
      <c r="D65" s="701">
        <v>40</v>
      </c>
      <c r="E65" s="701"/>
      <c r="F65" s="617" t="str">
        <f ca="1">IF(OFFSET(削減率設定!$Q$4,$D65,0)="○","★","")</f>
        <v>★</v>
      </c>
      <c r="G65" s="618"/>
      <c r="H65" s="732" t="str">
        <f>メイン!E58</f>
        <v>電気室、機械室の室温の適正化</v>
      </c>
      <c r="I65" s="733"/>
      <c r="J65" s="733"/>
      <c r="K65" s="733"/>
      <c r="L65" s="733"/>
      <c r="M65" s="733"/>
      <c r="N65" s="733"/>
      <c r="O65" s="733"/>
      <c r="P65" s="733"/>
      <c r="Q65" s="733"/>
      <c r="R65" s="733"/>
      <c r="S65" s="729" t="str">
        <f>メイン!F58</f>
        <v>ファンの運転開始設定温度を35℃程度に緩和し、運転時間を短縮</v>
      </c>
      <c r="T65" s="729"/>
      <c r="U65" s="729"/>
      <c r="V65" s="729"/>
      <c r="W65" s="729"/>
      <c r="X65" s="729"/>
      <c r="Y65" s="729"/>
      <c r="Z65" s="729"/>
      <c r="AA65" s="729"/>
      <c r="AB65" s="729"/>
      <c r="AC65" s="729"/>
      <c r="AD65" s="729"/>
      <c r="AE65" s="729"/>
      <c r="AF65" s="729"/>
      <c r="AG65" s="376"/>
      <c r="AH65" s="665"/>
      <c r="AI65" s="666"/>
      <c r="AJ65" s="666"/>
      <c r="AK65" s="667"/>
      <c r="AL65" s="717" t="str">
        <f ca="1">メイン!L58</f>
        <v>-</v>
      </c>
      <c r="AM65" s="717"/>
      <c r="AN65" s="717"/>
      <c r="AO65" s="715" t="str">
        <f ca="1">メイン!M58</f>
        <v>-</v>
      </c>
      <c r="AP65" s="715"/>
      <c r="AQ65" s="715"/>
      <c r="AR65" s="715" t="str">
        <f>メイン!N58</f>
        <v>-</v>
      </c>
      <c r="AS65" s="715"/>
      <c r="AT65" s="715"/>
    </row>
    <row r="66" spans="2:46" ht="39.950000000000003" customHeight="1" thickTop="1" thickBot="1">
      <c r="B66" s="731"/>
      <c r="C66" s="731"/>
      <c r="D66" s="701">
        <v>41</v>
      </c>
      <c r="E66" s="701"/>
      <c r="F66" s="617" t="str">
        <f ca="1">IF(OFFSET(削減率設定!$Q$4,$D66,0)="○","★","")</f>
        <v/>
      </c>
      <c r="G66" s="618"/>
      <c r="H66" s="732" t="str">
        <f>メイン!E59</f>
        <v>倉庫等の換気量の制限</v>
      </c>
      <c r="I66" s="733"/>
      <c r="J66" s="733"/>
      <c r="K66" s="733"/>
      <c r="L66" s="733"/>
      <c r="M66" s="733"/>
      <c r="N66" s="733"/>
      <c r="O66" s="733"/>
      <c r="P66" s="733"/>
      <c r="Q66" s="733"/>
      <c r="R66" s="733"/>
      <c r="S66" s="730" t="str">
        <f>メイン!F59</f>
        <v>非連続運転の実施（例：入室時のみ運転等）</v>
      </c>
      <c r="T66" s="730"/>
      <c r="U66" s="730"/>
      <c r="V66" s="730"/>
      <c r="W66" s="730"/>
      <c r="X66" s="730"/>
      <c r="Y66" s="730"/>
      <c r="Z66" s="730"/>
      <c r="AA66" s="730"/>
      <c r="AB66" s="730"/>
      <c r="AC66" s="730"/>
      <c r="AD66" s="730"/>
      <c r="AE66" s="730"/>
      <c r="AF66" s="730"/>
      <c r="AG66" s="376"/>
      <c r="AH66" s="665"/>
      <c r="AI66" s="666"/>
      <c r="AJ66" s="666"/>
      <c r="AK66" s="667"/>
      <c r="AL66" s="717" t="str">
        <f ca="1">メイン!L59</f>
        <v>-</v>
      </c>
      <c r="AM66" s="717"/>
      <c r="AN66" s="717"/>
      <c r="AO66" s="715" t="str">
        <f ca="1">メイン!M59</f>
        <v>-</v>
      </c>
      <c r="AP66" s="715"/>
      <c r="AQ66" s="715"/>
      <c r="AR66" s="715" t="str">
        <f>メイン!N59</f>
        <v>-</v>
      </c>
      <c r="AS66" s="715"/>
      <c r="AT66" s="715"/>
    </row>
    <row r="67" spans="2:46" ht="39.950000000000003" customHeight="1" thickTop="1" thickBot="1">
      <c r="B67" s="731"/>
      <c r="C67" s="731"/>
      <c r="D67" s="701">
        <v>42</v>
      </c>
      <c r="E67" s="701"/>
      <c r="F67" s="617" t="str">
        <f ca="1">IF(OFFSET(削減率設定!$Q$4,$D67,0)="○","★","")</f>
        <v>★</v>
      </c>
      <c r="G67" s="618"/>
      <c r="H67" s="732" t="str">
        <f>メイン!E60</f>
        <v>屋内駐車場の換気量の抑制</v>
      </c>
      <c r="I67" s="733"/>
      <c r="J67" s="733"/>
      <c r="K67" s="733"/>
      <c r="L67" s="733"/>
      <c r="M67" s="733"/>
      <c r="N67" s="733"/>
      <c r="O67" s="733"/>
      <c r="P67" s="733"/>
      <c r="Q67" s="733"/>
      <c r="R67" s="733"/>
      <c r="S67" s="730" t="str">
        <f>メイン!F60</f>
        <v>CO濃度25ppm程度以下に風量を抑制</v>
      </c>
      <c r="T67" s="730"/>
      <c r="U67" s="730"/>
      <c r="V67" s="730"/>
      <c r="W67" s="730"/>
      <c r="X67" s="730"/>
      <c r="Y67" s="730"/>
      <c r="Z67" s="730"/>
      <c r="AA67" s="730"/>
      <c r="AB67" s="730"/>
      <c r="AC67" s="730"/>
      <c r="AD67" s="730"/>
      <c r="AE67" s="730"/>
      <c r="AF67" s="730"/>
      <c r="AG67" s="376"/>
      <c r="AH67" s="665"/>
      <c r="AI67" s="666"/>
      <c r="AJ67" s="666"/>
      <c r="AK67" s="667"/>
      <c r="AL67" s="717" t="str">
        <f ca="1">メイン!L60</f>
        <v>-</v>
      </c>
      <c r="AM67" s="717"/>
      <c r="AN67" s="717"/>
      <c r="AO67" s="715" t="str">
        <f ca="1">メイン!M60</f>
        <v>-</v>
      </c>
      <c r="AP67" s="715"/>
      <c r="AQ67" s="715"/>
      <c r="AR67" s="715" t="str">
        <f>メイン!N60</f>
        <v>-</v>
      </c>
      <c r="AS67" s="715"/>
      <c r="AT67" s="715"/>
    </row>
    <row r="68" spans="2:46" ht="39.950000000000003" customHeight="1" thickTop="1" thickBot="1">
      <c r="B68" s="731"/>
      <c r="C68" s="731"/>
      <c r="D68" s="701">
        <v>43</v>
      </c>
      <c r="E68" s="701"/>
      <c r="F68" s="617" t="str">
        <f ca="1">IF(OFFSET(削減率設定!$Q$4,$D68,0)="○","★","")</f>
        <v/>
      </c>
      <c r="G68" s="618"/>
      <c r="H68" s="732" t="str">
        <f>メイン!E61</f>
        <v>厨房換気ファンの運転時間の適正化</v>
      </c>
      <c r="I68" s="733"/>
      <c r="J68" s="733"/>
      <c r="K68" s="733"/>
      <c r="L68" s="733"/>
      <c r="M68" s="733"/>
      <c r="N68" s="733"/>
      <c r="O68" s="733"/>
      <c r="P68" s="733"/>
      <c r="Q68" s="733"/>
      <c r="R68" s="733"/>
      <c r="S68" s="730" t="str">
        <f>メイン!F61</f>
        <v>厨房機器の運転状況に合わせて個別にオン・オフ</v>
      </c>
      <c r="T68" s="730"/>
      <c r="U68" s="730"/>
      <c r="V68" s="730"/>
      <c r="W68" s="730"/>
      <c r="X68" s="730"/>
      <c r="Y68" s="730"/>
      <c r="Z68" s="730"/>
      <c r="AA68" s="730"/>
      <c r="AB68" s="730"/>
      <c r="AC68" s="730"/>
      <c r="AD68" s="730"/>
      <c r="AE68" s="730"/>
      <c r="AF68" s="730"/>
      <c r="AG68" s="376"/>
      <c r="AH68" s="665"/>
      <c r="AI68" s="666"/>
      <c r="AJ68" s="666"/>
      <c r="AK68" s="667"/>
      <c r="AL68" s="717" t="str">
        <f ca="1">メイン!L61</f>
        <v>-</v>
      </c>
      <c r="AM68" s="717"/>
      <c r="AN68" s="717"/>
      <c r="AO68" s="715" t="str">
        <f ca="1">メイン!M61</f>
        <v>-</v>
      </c>
      <c r="AP68" s="715"/>
      <c r="AQ68" s="715"/>
      <c r="AR68" s="715" t="str">
        <f>メイン!N61</f>
        <v>-</v>
      </c>
      <c r="AS68" s="715"/>
      <c r="AT68" s="715"/>
    </row>
    <row r="69" spans="2:46" ht="39.950000000000003" customHeight="1" thickTop="1" thickBot="1">
      <c r="B69" s="731"/>
      <c r="C69" s="731"/>
      <c r="D69" s="701">
        <v>44</v>
      </c>
      <c r="E69" s="701"/>
      <c r="F69" s="617" t="str">
        <f ca="1">IF(OFFSET(削減率設定!$Q$4,$D69,0)="○","★","")</f>
        <v>★</v>
      </c>
      <c r="G69" s="618"/>
      <c r="H69" s="732" t="str">
        <f>メイン!E62</f>
        <v>全熱交換器の適正な運用</v>
      </c>
      <c r="I69" s="733"/>
      <c r="J69" s="733"/>
      <c r="K69" s="733"/>
      <c r="L69" s="733"/>
      <c r="M69" s="733"/>
      <c r="N69" s="733"/>
      <c r="O69" s="733"/>
      <c r="P69" s="733"/>
      <c r="Q69" s="733"/>
      <c r="R69" s="733"/>
      <c r="S69" s="729" t="str">
        <f>メイン!F62</f>
        <v>夏季、冬季、中間期に換気モード切替のルール設定</v>
      </c>
      <c r="T69" s="729"/>
      <c r="U69" s="729"/>
      <c r="V69" s="729"/>
      <c r="W69" s="729"/>
      <c r="X69" s="729"/>
      <c r="Y69" s="729"/>
      <c r="Z69" s="729"/>
      <c r="AA69" s="729"/>
      <c r="AB69" s="729"/>
      <c r="AC69" s="729"/>
      <c r="AD69" s="729"/>
      <c r="AE69" s="729"/>
      <c r="AF69" s="729"/>
      <c r="AG69" s="376"/>
      <c r="AH69" s="665"/>
      <c r="AI69" s="666"/>
      <c r="AJ69" s="666"/>
      <c r="AK69" s="667"/>
      <c r="AL69" s="717" t="str">
        <f ca="1">メイン!L62</f>
        <v>-</v>
      </c>
      <c r="AM69" s="717"/>
      <c r="AN69" s="717"/>
      <c r="AO69" s="715" t="str">
        <f ca="1">メイン!M62</f>
        <v>-</v>
      </c>
      <c r="AP69" s="715"/>
      <c r="AQ69" s="715"/>
      <c r="AR69" s="715" t="str">
        <f>メイン!N62</f>
        <v>-</v>
      </c>
      <c r="AS69" s="715"/>
      <c r="AT69" s="715"/>
    </row>
    <row r="70" spans="2:46" ht="39.950000000000003" customHeight="1" thickTop="1" thickBot="1">
      <c r="B70" s="731"/>
      <c r="C70" s="731"/>
      <c r="D70" s="701">
        <v>45</v>
      </c>
      <c r="E70" s="701"/>
      <c r="F70" s="617" t="str">
        <f ca="1">IF(OFFSET(削減率設定!$Q$4,$D70,0)="○","★","")</f>
        <v/>
      </c>
      <c r="G70" s="618"/>
      <c r="H70" s="736" t="str">
        <f>メイン!E63</f>
        <v>空調機、ダクトからのエアー漏れの是正</v>
      </c>
      <c r="I70" s="737"/>
      <c r="J70" s="737"/>
      <c r="K70" s="737"/>
      <c r="L70" s="737"/>
      <c r="M70" s="737"/>
      <c r="N70" s="737"/>
      <c r="O70" s="737"/>
      <c r="P70" s="737"/>
      <c r="Q70" s="737"/>
      <c r="R70" s="737"/>
      <c r="S70" s="743" t="str">
        <f>メイン!F63</f>
        <v>定期的な保守､点検</v>
      </c>
      <c r="T70" s="743"/>
      <c r="U70" s="743"/>
      <c r="V70" s="743"/>
      <c r="W70" s="743"/>
      <c r="X70" s="743"/>
      <c r="Y70" s="743"/>
      <c r="Z70" s="743"/>
      <c r="AA70" s="743"/>
      <c r="AB70" s="743"/>
      <c r="AC70" s="743"/>
      <c r="AD70" s="743"/>
      <c r="AE70" s="743"/>
      <c r="AF70" s="743"/>
      <c r="AG70" s="376"/>
      <c r="AH70" s="665"/>
      <c r="AI70" s="666"/>
      <c r="AJ70" s="666"/>
      <c r="AK70" s="667"/>
      <c r="AL70" s="717" t="str">
        <f ca="1">メイン!L63</f>
        <v>-</v>
      </c>
      <c r="AM70" s="717"/>
      <c r="AN70" s="717"/>
      <c r="AO70" s="715" t="str">
        <f ca="1">メイン!M63</f>
        <v>-</v>
      </c>
      <c r="AP70" s="715"/>
      <c r="AQ70" s="715"/>
      <c r="AR70" s="715" t="str">
        <f>メイン!N63</f>
        <v>-</v>
      </c>
      <c r="AS70" s="715"/>
      <c r="AT70" s="715"/>
    </row>
    <row r="71" spans="2:46" ht="39.950000000000003" customHeight="1" thickTop="1" thickBot="1">
      <c r="B71" s="719" t="s">
        <v>123</v>
      </c>
      <c r="C71" s="719"/>
      <c r="D71" s="700">
        <v>46</v>
      </c>
      <c r="E71" s="700"/>
      <c r="F71" s="613" t="str">
        <f ca="1">IF(OFFSET(削減率設定!$Q$4,$D71,0)="○","★","")</f>
        <v>★</v>
      </c>
      <c r="G71" s="614"/>
      <c r="H71" s="744" t="str">
        <f>メイン!E64</f>
        <v>照度の適正化</v>
      </c>
      <c r="I71" s="745"/>
      <c r="J71" s="745"/>
      <c r="K71" s="745"/>
      <c r="L71" s="745"/>
      <c r="M71" s="745"/>
      <c r="N71" s="745"/>
      <c r="O71" s="745"/>
      <c r="P71" s="745"/>
      <c r="Q71" s="745"/>
      <c r="R71" s="745"/>
      <c r="S71" s="738" t="str">
        <f>メイン!F64</f>
        <v>事務室の照度は500lxを目安に緩和</v>
      </c>
      <c r="T71" s="738"/>
      <c r="U71" s="738"/>
      <c r="V71" s="738"/>
      <c r="W71" s="738"/>
      <c r="X71" s="738"/>
      <c r="Y71" s="738"/>
      <c r="Z71" s="738"/>
      <c r="AA71" s="738"/>
      <c r="AB71" s="738"/>
      <c r="AC71" s="738"/>
      <c r="AD71" s="738"/>
      <c r="AE71" s="738"/>
      <c r="AF71" s="738"/>
      <c r="AG71" s="376"/>
      <c r="AH71" s="665"/>
      <c r="AI71" s="666"/>
      <c r="AJ71" s="666"/>
      <c r="AK71" s="667"/>
      <c r="AL71" s="717" t="str">
        <f ca="1">メイン!L64</f>
        <v>-</v>
      </c>
      <c r="AM71" s="717"/>
      <c r="AN71" s="717"/>
      <c r="AO71" s="715" t="str">
        <f ca="1">メイン!M64</f>
        <v>-</v>
      </c>
      <c r="AP71" s="715"/>
      <c r="AQ71" s="715"/>
      <c r="AR71" s="715" t="str">
        <f>メイン!N64</f>
        <v>-</v>
      </c>
      <c r="AS71" s="715"/>
      <c r="AT71" s="715"/>
    </row>
    <row r="72" spans="2:46" ht="39.950000000000003" customHeight="1" thickTop="1" thickBot="1">
      <c r="B72" s="719"/>
      <c r="C72" s="719"/>
      <c r="D72" s="700">
        <v>47</v>
      </c>
      <c r="E72" s="700"/>
      <c r="F72" s="613" t="str">
        <f ca="1">IF(OFFSET(削減率設定!$Q$4,$D72,0)="○","★","")</f>
        <v>★</v>
      </c>
      <c r="G72" s="614"/>
      <c r="H72" s="713" t="str">
        <f>メイン!E65</f>
        <v>空室、不在時等のこまめな消灯</v>
      </c>
      <c r="I72" s="714"/>
      <c r="J72" s="714"/>
      <c r="K72" s="714"/>
      <c r="L72" s="714"/>
      <c r="M72" s="714"/>
      <c r="N72" s="714"/>
      <c r="O72" s="714"/>
      <c r="P72" s="714"/>
      <c r="Q72" s="714"/>
      <c r="R72" s="714"/>
      <c r="S72" s="728" t="str">
        <f>メイン!F65</f>
        <v>消灯ルールの設定､周知､点検</v>
      </c>
      <c r="T72" s="728"/>
      <c r="U72" s="728"/>
      <c r="V72" s="728"/>
      <c r="W72" s="728"/>
      <c r="X72" s="728"/>
      <c r="Y72" s="728"/>
      <c r="Z72" s="728"/>
      <c r="AA72" s="728"/>
      <c r="AB72" s="728"/>
      <c r="AC72" s="728"/>
      <c r="AD72" s="728"/>
      <c r="AE72" s="728"/>
      <c r="AF72" s="728"/>
      <c r="AG72" s="376"/>
      <c r="AH72" s="665"/>
      <c r="AI72" s="666"/>
      <c r="AJ72" s="666"/>
      <c r="AK72" s="667"/>
      <c r="AL72" s="717" t="str">
        <f ca="1">メイン!L65</f>
        <v>-</v>
      </c>
      <c r="AM72" s="717"/>
      <c r="AN72" s="717"/>
      <c r="AO72" s="715" t="str">
        <f ca="1">メイン!M65</f>
        <v>-</v>
      </c>
      <c r="AP72" s="715"/>
      <c r="AQ72" s="715"/>
      <c r="AR72" s="715" t="str">
        <f>メイン!N65</f>
        <v>-</v>
      </c>
      <c r="AS72" s="715"/>
      <c r="AT72" s="715"/>
    </row>
    <row r="73" spans="2:46" ht="39.950000000000003" customHeight="1" thickTop="1" thickBot="1">
      <c r="B73" s="719"/>
      <c r="C73" s="719"/>
      <c r="D73" s="700">
        <v>48</v>
      </c>
      <c r="E73" s="700"/>
      <c r="F73" s="613" t="str">
        <f ca="1">IF(OFFSET(削減率設定!$Q$4,$D73,0)="○","★","")</f>
        <v/>
      </c>
      <c r="G73" s="614"/>
      <c r="H73" s="713" t="str">
        <f>メイン!E66</f>
        <v>照明点灯範囲の明確化</v>
      </c>
      <c r="I73" s="714"/>
      <c r="J73" s="714"/>
      <c r="K73" s="714"/>
      <c r="L73" s="714"/>
      <c r="M73" s="714"/>
      <c r="N73" s="714"/>
      <c r="O73" s="714"/>
      <c r="P73" s="714"/>
      <c r="Q73" s="714"/>
      <c r="R73" s="714"/>
      <c r="S73" s="728" t="str">
        <f>メイン!F66</f>
        <v>照明スイッチ付近に点灯範囲図を表示</v>
      </c>
      <c r="T73" s="728"/>
      <c r="U73" s="728"/>
      <c r="V73" s="728"/>
      <c r="W73" s="728"/>
      <c r="X73" s="728"/>
      <c r="Y73" s="728"/>
      <c r="Z73" s="728"/>
      <c r="AA73" s="728"/>
      <c r="AB73" s="728"/>
      <c r="AC73" s="728"/>
      <c r="AD73" s="728"/>
      <c r="AE73" s="728"/>
      <c r="AF73" s="728"/>
      <c r="AG73" s="376"/>
      <c r="AH73" s="665"/>
      <c r="AI73" s="666"/>
      <c r="AJ73" s="666"/>
      <c r="AK73" s="667"/>
      <c r="AL73" s="717" t="str">
        <f ca="1">メイン!L66</f>
        <v>-</v>
      </c>
      <c r="AM73" s="717"/>
      <c r="AN73" s="717"/>
      <c r="AO73" s="715" t="str">
        <f ca="1">メイン!M66</f>
        <v>-</v>
      </c>
      <c r="AP73" s="715"/>
      <c r="AQ73" s="715"/>
      <c r="AR73" s="715" t="str">
        <f>メイン!N66</f>
        <v>-</v>
      </c>
      <c r="AS73" s="715"/>
      <c r="AT73" s="715"/>
    </row>
    <row r="74" spans="2:46" ht="39.950000000000003" customHeight="1" thickTop="1" thickBot="1">
      <c r="B74" s="719"/>
      <c r="C74" s="719"/>
      <c r="D74" s="700">
        <v>49</v>
      </c>
      <c r="E74" s="700"/>
      <c r="F74" s="613" t="str">
        <f ca="1">IF(OFFSET(削減率設定!$Q$4,$D74,0)="○","★","")</f>
        <v>★</v>
      </c>
      <c r="G74" s="614"/>
      <c r="H74" s="713" t="str">
        <f>メイン!E67</f>
        <v>採光を利用した消灯の実施</v>
      </c>
      <c r="I74" s="714"/>
      <c r="J74" s="714"/>
      <c r="K74" s="714"/>
      <c r="L74" s="714"/>
      <c r="M74" s="714"/>
      <c r="N74" s="714"/>
      <c r="O74" s="714"/>
      <c r="P74" s="714"/>
      <c r="Q74" s="714"/>
      <c r="R74" s="714"/>
      <c r="S74" s="728" t="str">
        <f>メイン!F67</f>
        <v>日中消灯のルールの設定､周知､点検</v>
      </c>
      <c r="T74" s="728"/>
      <c r="U74" s="728"/>
      <c r="V74" s="728"/>
      <c r="W74" s="728"/>
      <c r="X74" s="728"/>
      <c r="Y74" s="728"/>
      <c r="Z74" s="728"/>
      <c r="AA74" s="728"/>
      <c r="AB74" s="728"/>
      <c r="AC74" s="728"/>
      <c r="AD74" s="728"/>
      <c r="AE74" s="728"/>
      <c r="AF74" s="728"/>
      <c r="AG74" s="376"/>
      <c r="AH74" s="665"/>
      <c r="AI74" s="666"/>
      <c r="AJ74" s="666"/>
      <c r="AK74" s="667"/>
      <c r="AL74" s="717" t="str">
        <f ca="1">メイン!L67</f>
        <v>-</v>
      </c>
      <c r="AM74" s="717"/>
      <c r="AN74" s="717"/>
      <c r="AO74" s="715" t="str">
        <f ca="1">メイン!M67</f>
        <v>-</v>
      </c>
      <c r="AP74" s="715"/>
      <c r="AQ74" s="715"/>
      <c r="AR74" s="715" t="str">
        <f>メイン!N67</f>
        <v>-</v>
      </c>
      <c r="AS74" s="715"/>
      <c r="AT74" s="715"/>
    </row>
    <row r="75" spans="2:46" ht="39.950000000000003" customHeight="1" thickTop="1" thickBot="1">
      <c r="B75" s="719"/>
      <c r="C75" s="719"/>
      <c r="D75" s="700">
        <v>50</v>
      </c>
      <c r="E75" s="700"/>
      <c r="F75" s="613" t="str">
        <f ca="1">IF(OFFSET(削減率設定!$Q$4,$D75,0)="○","★","")</f>
        <v/>
      </c>
      <c r="G75" s="614"/>
      <c r="H75" s="713" t="str">
        <f>メイン!E68</f>
        <v>始業時間前の点灯範囲の制限</v>
      </c>
      <c r="I75" s="714"/>
      <c r="J75" s="714"/>
      <c r="K75" s="714"/>
      <c r="L75" s="714"/>
      <c r="M75" s="714"/>
      <c r="N75" s="714"/>
      <c r="O75" s="714"/>
      <c r="P75" s="714"/>
      <c r="Q75" s="714"/>
      <c r="R75" s="714"/>
      <c r="S75" s="728" t="str">
        <f>メイン!F68</f>
        <v>始業時間前の点灯時間､範囲等に関するルールの設定､周知､点検</v>
      </c>
      <c r="T75" s="728"/>
      <c r="U75" s="728"/>
      <c r="V75" s="728"/>
      <c r="W75" s="728"/>
      <c r="X75" s="728"/>
      <c r="Y75" s="728"/>
      <c r="Z75" s="728"/>
      <c r="AA75" s="728"/>
      <c r="AB75" s="728"/>
      <c r="AC75" s="728"/>
      <c r="AD75" s="728"/>
      <c r="AE75" s="728"/>
      <c r="AF75" s="728"/>
      <c r="AG75" s="376"/>
      <c r="AH75" s="665"/>
      <c r="AI75" s="666"/>
      <c r="AJ75" s="666"/>
      <c r="AK75" s="667"/>
      <c r="AL75" s="717" t="str">
        <f ca="1">メイン!L68</f>
        <v>-</v>
      </c>
      <c r="AM75" s="717"/>
      <c r="AN75" s="717"/>
      <c r="AO75" s="715" t="str">
        <f ca="1">メイン!M68</f>
        <v>-</v>
      </c>
      <c r="AP75" s="715"/>
      <c r="AQ75" s="715"/>
      <c r="AR75" s="715" t="str">
        <f>メイン!N68</f>
        <v>-</v>
      </c>
      <c r="AS75" s="715"/>
      <c r="AT75" s="715"/>
    </row>
    <row r="76" spans="2:46" ht="39.950000000000003" customHeight="1" thickTop="1" thickBot="1">
      <c r="B76" s="719"/>
      <c r="C76" s="719"/>
      <c r="D76" s="700">
        <v>51</v>
      </c>
      <c r="E76" s="700"/>
      <c r="F76" s="613" t="str">
        <f ca="1">IF(OFFSET(削減率設定!$Q$4,$D76,0)="○","★","")</f>
        <v/>
      </c>
      <c r="G76" s="614"/>
      <c r="H76" s="713" t="str">
        <f>メイン!E69</f>
        <v>昼休みの一斉消灯</v>
      </c>
      <c r="I76" s="714"/>
      <c r="J76" s="714"/>
      <c r="K76" s="714"/>
      <c r="L76" s="714"/>
      <c r="M76" s="714"/>
      <c r="N76" s="714"/>
      <c r="O76" s="714"/>
      <c r="P76" s="714"/>
      <c r="Q76" s="714"/>
      <c r="R76" s="714"/>
      <c r="S76" s="728" t="str">
        <f>メイン!F69</f>
        <v>消灯ルールの設定､周知､点検（必要なエリアのみ再点灯）</v>
      </c>
      <c r="T76" s="728"/>
      <c r="U76" s="728"/>
      <c r="V76" s="728"/>
      <c r="W76" s="728"/>
      <c r="X76" s="728"/>
      <c r="Y76" s="728"/>
      <c r="Z76" s="728"/>
      <c r="AA76" s="728"/>
      <c r="AB76" s="728"/>
      <c r="AC76" s="728"/>
      <c r="AD76" s="728"/>
      <c r="AE76" s="728"/>
      <c r="AF76" s="728"/>
      <c r="AG76" s="376"/>
      <c r="AH76" s="665"/>
      <c r="AI76" s="666"/>
      <c r="AJ76" s="666"/>
      <c r="AK76" s="667"/>
      <c r="AL76" s="717" t="str">
        <f ca="1">メイン!L69</f>
        <v>-</v>
      </c>
      <c r="AM76" s="717"/>
      <c r="AN76" s="717"/>
      <c r="AO76" s="715" t="str">
        <f ca="1">メイン!M69</f>
        <v>-</v>
      </c>
      <c r="AP76" s="715"/>
      <c r="AQ76" s="715"/>
      <c r="AR76" s="715" t="str">
        <f>メイン!N69</f>
        <v>-</v>
      </c>
      <c r="AS76" s="715"/>
      <c r="AT76" s="715"/>
    </row>
    <row r="77" spans="2:46" ht="39.950000000000003" customHeight="1" thickTop="1" thickBot="1">
      <c r="B77" s="719"/>
      <c r="C77" s="719"/>
      <c r="D77" s="700">
        <v>52</v>
      </c>
      <c r="E77" s="700"/>
      <c r="F77" s="613" t="str">
        <f ca="1">IF(OFFSET(削減率設定!$Q$4,$D77,0)="○","★","")</f>
        <v/>
      </c>
      <c r="G77" s="614"/>
      <c r="H77" s="713" t="str">
        <f>メイン!E70</f>
        <v>終業時間以降の一斉消灯</v>
      </c>
      <c r="I77" s="714"/>
      <c r="J77" s="714"/>
      <c r="K77" s="714"/>
      <c r="L77" s="714"/>
      <c r="M77" s="714"/>
      <c r="N77" s="714"/>
      <c r="O77" s="714"/>
      <c r="P77" s="714"/>
      <c r="Q77" s="714"/>
      <c r="R77" s="714"/>
      <c r="S77" s="728" t="str">
        <f>メイン!F70</f>
        <v>消灯ルールの設定､周知､点検（必要なエリアのみ再点灯）</v>
      </c>
      <c r="T77" s="728"/>
      <c r="U77" s="728"/>
      <c r="V77" s="728"/>
      <c r="W77" s="728"/>
      <c r="X77" s="728"/>
      <c r="Y77" s="728"/>
      <c r="Z77" s="728"/>
      <c r="AA77" s="728"/>
      <c r="AB77" s="728"/>
      <c r="AC77" s="728"/>
      <c r="AD77" s="728"/>
      <c r="AE77" s="728"/>
      <c r="AF77" s="728"/>
      <c r="AG77" s="376"/>
      <c r="AH77" s="665"/>
      <c r="AI77" s="666"/>
      <c r="AJ77" s="666"/>
      <c r="AK77" s="667"/>
      <c r="AL77" s="717" t="str">
        <f ca="1">メイン!L70</f>
        <v>-</v>
      </c>
      <c r="AM77" s="717"/>
      <c r="AN77" s="717"/>
      <c r="AO77" s="715" t="str">
        <f ca="1">メイン!M70</f>
        <v>-</v>
      </c>
      <c r="AP77" s="715"/>
      <c r="AQ77" s="715"/>
      <c r="AR77" s="715" t="str">
        <f>メイン!N70</f>
        <v>-</v>
      </c>
      <c r="AS77" s="715"/>
      <c r="AT77" s="715"/>
    </row>
    <row r="78" spans="2:46" ht="39.950000000000003" customHeight="1" thickTop="1" thickBot="1">
      <c r="B78" s="719"/>
      <c r="C78" s="719"/>
      <c r="D78" s="700">
        <v>53</v>
      </c>
      <c r="E78" s="700"/>
      <c r="F78" s="613" t="str">
        <f ca="1">IF(OFFSET(削減率設定!$Q$4,$D78,0)="○","★","")</f>
        <v/>
      </c>
      <c r="G78" s="614"/>
      <c r="H78" s="713" t="str">
        <f>メイン!E71</f>
        <v>照明器具の清掃</v>
      </c>
      <c r="I78" s="714"/>
      <c r="J78" s="714"/>
      <c r="K78" s="714"/>
      <c r="L78" s="714"/>
      <c r="M78" s="714"/>
      <c r="N78" s="714"/>
      <c r="O78" s="714"/>
      <c r="P78" s="714"/>
      <c r="Q78" s="714"/>
      <c r="R78" s="714"/>
      <c r="S78" s="728" t="str">
        <f>メイン!F71</f>
        <v>年1～2回清掃</v>
      </c>
      <c r="T78" s="728"/>
      <c r="U78" s="728"/>
      <c r="V78" s="728"/>
      <c r="W78" s="728"/>
      <c r="X78" s="728"/>
      <c r="Y78" s="728"/>
      <c r="Z78" s="728"/>
      <c r="AA78" s="728"/>
      <c r="AB78" s="728"/>
      <c r="AC78" s="728"/>
      <c r="AD78" s="728"/>
      <c r="AE78" s="728"/>
      <c r="AF78" s="728"/>
      <c r="AG78" s="376"/>
      <c r="AH78" s="665"/>
      <c r="AI78" s="666"/>
      <c r="AJ78" s="666"/>
      <c r="AK78" s="667"/>
      <c r="AL78" s="717" t="str">
        <f ca="1">メイン!L71</f>
        <v>-</v>
      </c>
      <c r="AM78" s="717"/>
      <c r="AN78" s="717"/>
      <c r="AO78" s="715" t="str">
        <f ca="1">メイン!M71</f>
        <v>-</v>
      </c>
      <c r="AP78" s="715"/>
      <c r="AQ78" s="715"/>
      <c r="AR78" s="715" t="str">
        <f>メイン!N71</f>
        <v>-</v>
      </c>
      <c r="AS78" s="715"/>
      <c r="AT78" s="715"/>
    </row>
    <row r="79" spans="2:46" ht="39.950000000000003" customHeight="1" thickTop="1" thickBot="1">
      <c r="B79" s="719"/>
      <c r="C79" s="719"/>
      <c r="D79" s="700">
        <v>54</v>
      </c>
      <c r="E79" s="700"/>
      <c r="F79" s="613" t="str">
        <f ca="1">IF(OFFSET(削減率設定!$Q$4,$D79,0)="○","★","")</f>
        <v/>
      </c>
      <c r="G79" s="614"/>
      <c r="H79" s="713" t="str">
        <f>メイン!E72</f>
        <v>ランプの定期交換時にLEDに更新</v>
      </c>
      <c r="I79" s="714"/>
      <c r="J79" s="714"/>
      <c r="K79" s="714"/>
      <c r="L79" s="714"/>
      <c r="M79" s="714"/>
      <c r="N79" s="714"/>
      <c r="O79" s="714"/>
      <c r="P79" s="714"/>
      <c r="Q79" s="714"/>
      <c r="R79" s="714"/>
      <c r="S79" s="728" t="str">
        <f>メイン!F72</f>
        <v>・明るさが低下する4～5年でランプ交換
・白熱球はLEDに交換</v>
      </c>
      <c r="T79" s="728"/>
      <c r="U79" s="728"/>
      <c r="V79" s="728"/>
      <c r="W79" s="728"/>
      <c r="X79" s="728"/>
      <c r="Y79" s="728"/>
      <c r="Z79" s="728"/>
      <c r="AA79" s="728"/>
      <c r="AB79" s="728"/>
      <c r="AC79" s="728"/>
      <c r="AD79" s="728"/>
      <c r="AE79" s="728"/>
      <c r="AF79" s="728"/>
      <c r="AG79" s="376"/>
      <c r="AH79" s="665"/>
      <c r="AI79" s="666"/>
      <c r="AJ79" s="666"/>
      <c r="AK79" s="667"/>
      <c r="AL79" s="717" t="str">
        <f ca="1">メイン!L72</f>
        <v>-</v>
      </c>
      <c r="AM79" s="717"/>
      <c r="AN79" s="717"/>
      <c r="AO79" s="715" t="str">
        <f ca="1">メイン!M72</f>
        <v>-</v>
      </c>
      <c r="AP79" s="715"/>
      <c r="AQ79" s="715"/>
      <c r="AR79" s="715" t="str">
        <f>メイン!N72</f>
        <v>-</v>
      </c>
      <c r="AS79" s="715"/>
      <c r="AT79" s="715"/>
    </row>
    <row r="80" spans="2:46" ht="39.950000000000003" customHeight="1" thickTop="1" thickBot="1">
      <c r="B80" s="719"/>
      <c r="C80" s="719"/>
      <c r="D80" s="700">
        <v>55</v>
      </c>
      <c r="E80" s="700"/>
      <c r="F80" s="613" t="str">
        <f ca="1">IF(OFFSET(削減率設定!$Q$4,$D80,0)="○","★","")</f>
        <v/>
      </c>
      <c r="G80" s="614"/>
      <c r="H80" s="741" t="str">
        <f>メイン!E73</f>
        <v>デスクライトの活用</v>
      </c>
      <c r="I80" s="742"/>
      <c r="J80" s="742"/>
      <c r="K80" s="742"/>
      <c r="L80" s="742"/>
      <c r="M80" s="742"/>
      <c r="N80" s="742"/>
      <c r="O80" s="742"/>
      <c r="P80" s="742"/>
      <c r="Q80" s="742"/>
      <c r="R80" s="742"/>
      <c r="S80" s="703" t="str">
        <f>メイン!F73</f>
        <v>室全体の照度を引下げ､デスクライト等により作業面の照度を確保（タスクアンビエント方式）</v>
      </c>
      <c r="T80" s="703"/>
      <c r="U80" s="703"/>
      <c r="V80" s="703"/>
      <c r="W80" s="703"/>
      <c r="X80" s="703"/>
      <c r="Y80" s="703"/>
      <c r="Z80" s="703"/>
      <c r="AA80" s="703"/>
      <c r="AB80" s="703"/>
      <c r="AC80" s="703"/>
      <c r="AD80" s="703"/>
      <c r="AE80" s="703"/>
      <c r="AF80" s="703"/>
      <c r="AG80" s="376"/>
      <c r="AH80" s="665"/>
      <c r="AI80" s="666"/>
      <c r="AJ80" s="666"/>
      <c r="AK80" s="667"/>
      <c r="AL80" s="717" t="str">
        <f ca="1">メイン!L73</f>
        <v>-</v>
      </c>
      <c r="AM80" s="717"/>
      <c r="AN80" s="717"/>
      <c r="AO80" s="715" t="str">
        <f ca="1">メイン!M73</f>
        <v>-</v>
      </c>
      <c r="AP80" s="715"/>
      <c r="AQ80" s="715"/>
      <c r="AR80" s="715" t="str">
        <f>メイン!N73</f>
        <v>-</v>
      </c>
      <c r="AS80" s="715"/>
      <c r="AT80" s="715"/>
    </row>
    <row r="81" spans="2:46" ht="39.950000000000003" customHeight="1" thickTop="1" thickBot="1">
      <c r="B81" s="720" t="s">
        <v>125</v>
      </c>
      <c r="C81" s="721"/>
      <c r="D81" s="702">
        <v>56</v>
      </c>
      <c r="E81" s="702"/>
      <c r="F81" s="611" t="str">
        <f ca="1">IF(OFFSET(削減率設定!$Q$4,$D81,0)="○","★","")</f>
        <v>★</v>
      </c>
      <c r="G81" s="612"/>
      <c r="H81" s="711" t="str">
        <f>メイン!E74</f>
        <v>給湯運転時間の適正化</v>
      </c>
      <c r="I81" s="712"/>
      <c r="J81" s="712"/>
      <c r="K81" s="712"/>
      <c r="L81" s="712"/>
      <c r="M81" s="712"/>
      <c r="N81" s="712"/>
      <c r="O81" s="712"/>
      <c r="P81" s="712"/>
      <c r="Q81" s="712"/>
      <c r="R81" s="712"/>
      <c r="S81" s="704" t="str">
        <f>メイン!F74</f>
        <v>夜間､休日等の勤務時間外は停止</v>
      </c>
      <c r="T81" s="704"/>
      <c r="U81" s="704"/>
      <c r="V81" s="704"/>
      <c r="W81" s="704"/>
      <c r="X81" s="704"/>
      <c r="Y81" s="704"/>
      <c r="Z81" s="704"/>
      <c r="AA81" s="704"/>
      <c r="AB81" s="704"/>
      <c r="AC81" s="704"/>
      <c r="AD81" s="704"/>
      <c r="AE81" s="704"/>
      <c r="AF81" s="704"/>
      <c r="AG81" s="376"/>
      <c r="AH81" s="665"/>
      <c r="AI81" s="666"/>
      <c r="AJ81" s="666"/>
      <c r="AK81" s="667"/>
      <c r="AL81" s="717" t="str">
        <f ca="1">メイン!L74</f>
        <v>-</v>
      </c>
      <c r="AM81" s="717"/>
      <c r="AN81" s="717"/>
      <c r="AO81" s="715" t="str">
        <f ca="1">メイン!M74</f>
        <v>-</v>
      </c>
      <c r="AP81" s="715"/>
      <c r="AQ81" s="715"/>
      <c r="AR81" s="715" t="str">
        <f>メイン!N74</f>
        <v>-</v>
      </c>
      <c r="AS81" s="715"/>
      <c r="AT81" s="715"/>
    </row>
    <row r="82" spans="2:46" ht="39.950000000000003" customHeight="1" thickTop="1" thickBot="1">
      <c r="B82" s="722"/>
      <c r="C82" s="723"/>
      <c r="D82" s="702">
        <v>57</v>
      </c>
      <c r="E82" s="702"/>
      <c r="F82" s="611" t="str">
        <f ca="1">IF(OFFSET(削減率設定!$Q$4,$D82,0)="○","★","")</f>
        <v/>
      </c>
      <c r="G82" s="612"/>
      <c r="H82" s="709" t="str">
        <f>メイン!E75</f>
        <v>冬季以外の手洗い給湯停止</v>
      </c>
      <c r="I82" s="710"/>
      <c r="J82" s="710"/>
      <c r="K82" s="710"/>
      <c r="L82" s="710"/>
      <c r="M82" s="710"/>
      <c r="N82" s="710"/>
      <c r="O82" s="710"/>
      <c r="P82" s="710"/>
      <c r="Q82" s="710"/>
      <c r="R82" s="710"/>
      <c r="S82" s="705" t="str">
        <f>メイン!F75</f>
        <v>手洗い用給湯器は5月～10月停止</v>
      </c>
      <c r="T82" s="705"/>
      <c r="U82" s="705"/>
      <c r="V82" s="705"/>
      <c r="W82" s="705"/>
      <c r="X82" s="705"/>
      <c r="Y82" s="705"/>
      <c r="Z82" s="705"/>
      <c r="AA82" s="705"/>
      <c r="AB82" s="705"/>
      <c r="AC82" s="705"/>
      <c r="AD82" s="705"/>
      <c r="AE82" s="705"/>
      <c r="AF82" s="705"/>
      <c r="AG82" s="376"/>
      <c r="AH82" s="665"/>
      <c r="AI82" s="666"/>
      <c r="AJ82" s="666"/>
      <c r="AK82" s="667"/>
      <c r="AL82" s="717" t="str">
        <f ca="1">メイン!L75</f>
        <v>-</v>
      </c>
      <c r="AM82" s="717"/>
      <c r="AN82" s="717"/>
      <c r="AO82" s="715" t="str">
        <f ca="1">メイン!M75</f>
        <v>-</v>
      </c>
      <c r="AP82" s="715"/>
      <c r="AQ82" s="715"/>
      <c r="AR82" s="715" t="str">
        <f>メイン!N75</f>
        <v>-</v>
      </c>
      <c r="AS82" s="715"/>
      <c r="AT82" s="715"/>
    </row>
    <row r="83" spans="2:46" ht="39.950000000000003" customHeight="1" thickTop="1" thickBot="1">
      <c r="B83" s="722"/>
      <c r="C83" s="723"/>
      <c r="D83" s="702">
        <v>58</v>
      </c>
      <c r="E83" s="702"/>
      <c r="F83" s="611" t="str">
        <f ca="1">IF(OFFSET(削減率設定!$Q$4,$D83,0)="○","★","")</f>
        <v/>
      </c>
      <c r="G83" s="612"/>
      <c r="H83" s="709" t="str">
        <f>メイン!E76</f>
        <v>手洗い、シャワー用給湯温度の適正化</v>
      </c>
      <c r="I83" s="710"/>
      <c r="J83" s="710"/>
      <c r="K83" s="710"/>
      <c r="L83" s="710"/>
      <c r="M83" s="710"/>
      <c r="N83" s="710"/>
      <c r="O83" s="710"/>
      <c r="P83" s="710"/>
      <c r="Q83" s="710"/>
      <c r="R83" s="710"/>
      <c r="S83" s="705" t="str">
        <f>メイン!F76</f>
        <v>個別給湯：40℃程度以下
セントラル給湯：給湯下限温度60℃程度</v>
      </c>
      <c r="T83" s="705"/>
      <c r="U83" s="705"/>
      <c r="V83" s="705"/>
      <c r="W83" s="705"/>
      <c r="X83" s="705"/>
      <c r="Y83" s="705"/>
      <c r="Z83" s="705"/>
      <c r="AA83" s="705"/>
      <c r="AB83" s="705"/>
      <c r="AC83" s="705"/>
      <c r="AD83" s="705"/>
      <c r="AE83" s="705"/>
      <c r="AF83" s="705"/>
      <c r="AG83" s="376"/>
      <c r="AH83" s="665"/>
      <c r="AI83" s="666"/>
      <c r="AJ83" s="666"/>
      <c r="AK83" s="667"/>
      <c r="AL83" s="717" t="str">
        <f ca="1">メイン!L76</f>
        <v>-</v>
      </c>
      <c r="AM83" s="717"/>
      <c r="AN83" s="717"/>
      <c r="AO83" s="715" t="str">
        <f ca="1">メイン!M76</f>
        <v>-</v>
      </c>
      <c r="AP83" s="715"/>
      <c r="AQ83" s="715"/>
      <c r="AR83" s="715" t="str">
        <f ca="1">メイン!N76</f>
        <v>-</v>
      </c>
      <c r="AS83" s="715"/>
      <c r="AT83" s="715"/>
    </row>
    <row r="84" spans="2:46" ht="39.950000000000003" customHeight="1" thickTop="1" thickBot="1">
      <c r="B84" s="722"/>
      <c r="C84" s="723"/>
      <c r="D84" s="702">
        <v>59</v>
      </c>
      <c r="E84" s="702"/>
      <c r="F84" s="611" t="str">
        <f ca="1">IF(OFFSET(削減率設定!$Q$4,$D84,0)="○","★","")</f>
        <v/>
      </c>
      <c r="G84" s="612"/>
      <c r="H84" s="709" t="str">
        <f>メイン!E77</f>
        <v>節水対策</v>
      </c>
      <c r="I84" s="710"/>
      <c r="J84" s="710"/>
      <c r="K84" s="710"/>
      <c r="L84" s="710"/>
      <c r="M84" s="710"/>
      <c r="N84" s="710"/>
      <c r="O84" s="710"/>
      <c r="P84" s="710"/>
      <c r="Q84" s="710"/>
      <c r="R84" s="710"/>
      <c r="S84" s="705" t="str">
        <f>メイン!F77</f>
        <v>節水コマの採用</v>
      </c>
      <c r="T84" s="705"/>
      <c r="U84" s="705"/>
      <c r="V84" s="705"/>
      <c r="W84" s="705"/>
      <c r="X84" s="705"/>
      <c r="Y84" s="705"/>
      <c r="Z84" s="705"/>
      <c r="AA84" s="705"/>
      <c r="AB84" s="705"/>
      <c r="AC84" s="705"/>
      <c r="AD84" s="705"/>
      <c r="AE84" s="705"/>
      <c r="AF84" s="705"/>
      <c r="AG84" s="376"/>
      <c r="AH84" s="665"/>
      <c r="AI84" s="666"/>
      <c r="AJ84" s="666"/>
      <c r="AK84" s="667"/>
      <c r="AL84" s="717" t="str">
        <f ca="1">メイン!L77</f>
        <v>-</v>
      </c>
      <c r="AM84" s="717"/>
      <c r="AN84" s="717"/>
      <c r="AO84" s="715" t="str">
        <f ca="1">メイン!M77</f>
        <v>-</v>
      </c>
      <c r="AP84" s="715"/>
      <c r="AQ84" s="715"/>
      <c r="AR84" s="715" t="str">
        <f>メイン!N77</f>
        <v>-</v>
      </c>
      <c r="AS84" s="715"/>
      <c r="AT84" s="715"/>
    </row>
    <row r="85" spans="2:46" ht="39.950000000000003" customHeight="1" thickTop="1" thickBot="1">
      <c r="B85" s="724"/>
      <c r="C85" s="725"/>
      <c r="D85" s="702">
        <v>60</v>
      </c>
      <c r="E85" s="702"/>
      <c r="F85" s="611" t="str">
        <f ca="1">IF(OFFSET(削減率設定!$Q$4,$D85,0)="○","★","")</f>
        <v/>
      </c>
      <c r="G85" s="612"/>
      <c r="H85" s="707" t="str">
        <f>メイン!E78</f>
        <v>水圧の低減</v>
      </c>
      <c r="I85" s="708"/>
      <c r="J85" s="708"/>
      <c r="K85" s="708"/>
      <c r="L85" s="708"/>
      <c r="M85" s="708"/>
      <c r="N85" s="708"/>
      <c r="O85" s="708"/>
      <c r="P85" s="708"/>
      <c r="Q85" s="708"/>
      <c r="R85" s="708"/>
      <c r="S85" s="766" t="str">
        <f>メイン!F78</f>
        <v>使用上支障のない範囲で給水バルブを絞り減圧</v>
      </c>
      <c r="T85" s="766"/>
      <c r="U85" s="766"/>
      <c r="V85" s="766"/>
      <c r="W85" s="766"/>
      <c r="X85" s="766"/>
      <c r="Y85" s="766"/>
      <c r="Z85" s="766"/>
      <c r="AA85" s="766"/>
      <c r="AB85" s="766"/>
      <c r="AC85" s="766"/>
      <c r="AD85" s="766"/>
      <c r="AE85" s="766"/>
      <c r="AF85" s="766"/>
      <c r="AG85" s="376"/>
      <c r="AH85" s="665"/>
      <c r="AI85" s="666"/>
      <c r="AJ85" s="666"/>
      <c r="AK85" s="667"/>
      <c r="AL85" s="717" t="str">
        <f ca="1">メイン!L78</f>
        <v>-</v>
      </c>
      <c r="AM85" s="717"/>
      <c r="AN85" s="717"/>
      <c r="AO85" s="715" t="str">
        <f ca="1">メイン!M78</f>
        <v>-</v>
      </c>
      <c r="AP85" s="715"/>
      <c r="AQ85" s="715"/>
      <c r="AR85" s="715" t="str">
        <f ca="1">メイン!N78</f>
        <v>-</v>
      </c>
      <c r="AS85" s="715"/>
      <c r="AT85" s="715"/>
    </row>
    <row r="86" spans="2:46" ht="39.950000000000003" customHeight="1" thickTop="1" thickBot="1">
      <c r="B86" s="718" t="str">
        <f>"その他、業種に特有な項目（"&amp;用途&amp;"） １０項目"</f>
        <v>その他、業種に特有な項目（事務所） １０項目</v>
      </c>
      <c r="C86" s="718"/>
      <c r="D86" s="699">
        <v>61</v>
      </c>
      <c r="E86" s="699"/>
      <c r="F86" s="609" t="str">
        <f ca="1">IF(OFFSET(削減率設定!$Q$4,$D86,0)="○","★","")</f>
        <v>★</v>
      </c>
      <c r="G86" s="610"/>
      <c r="H86" s="748" t="str">
        <f>メイン!E79</f>
        <v>事務用機器の省エネモードの活用</v>
      </c>
      <c r="I86" s="749"/>
      <c r="J86" s="749"/>
      <c r="K86" s="749"/>
      <c r="L86" s="749"/>
      <c r="M86" s="749"/>
      <c r="N86" s="749"/>
      <c r="O86" s="749"/>
      <c r="P86" s="749"/>
      <c r="Q86" s="749"/>
      <c r="R86" s="749"/>
      <c r="S86" s="767" t="str">
        <f>メイン!F79</f>
        <v>ルールの設定､周知､点検</v>
      </c>
      <c r="T86" s="767"/>
      <c r="U86" s="767"/>
      <c r="V86" s="767"/>
      <c r="W86" s="767"/>
      <c r="X86" s="767"/>
      <c r="Y86" s="767"/>
      <c r="Z86" s="767"/>
      <c r="AA86" s="767"/>
      <c r="AB86" s="767"/>
      <c r="AC86" s="767"/>
      <c r="AD86" s="767"/>
      <c r="AE86" s="767"/>
      <c r="AF86" s="767"/>
      <c r="AG86" s="376"/>
      <c r="AH86" s="665"/>
      <c r="AI86" s="666"/>
      <c r="AJ86" s="666"/>
      <c r="AK86" s="667"/>
      <c r="AL86" s="717" t="str">
        <f ca="1">メイン!L79</f>
        <v>-</v>
      </c>
      <c r="AM86" s="717"/>
      <c r="AN86" s="717"/>
      <c r="AO86" s="715" t="str">
        <f ca="1">メイン!M79</f>
        <v>-</v>
      </c>
      <c r="AP86" s="715"/>
      <c r="AQ86" s="715"/>
      <c r="AR86" s="715" t="str">
        <f>メイン!N79</f>
        <v>-</v>
      </c>
      <c r="AS86" s="715"/>
      <c r="AT86" s="715"/>
    </row>
    <row r="87" spans="2:46" ht="39.950000000000003" customHeight="1" thickTop="1" thickBot="1">
      <c r="B87" s="718"/>
      <c r="C87" s="718"/>
      <c r="D87" s="699">
        <v>62</v>
      </c>
      <c r="E87" s="699"/>
      <c r="F87" s="609" t="str">
        <f ca="1">IF(OFFSET(削減率設定!$Q$4,$D87,0)="○","★","")</f>
        <v/>
      </c>
      <c r="G87" s="610"/>
      <c r="H87" s="750" t="str">
        <f>メイン!E80</f>
        <v>事務用機器の終業後停止</v>
      </c>
      <c r="I87" s="751"/>
      <c r="J87" s="751"/>
      <c r="K87" s="751"/>
      <c r="L87" s="751"/>
      <c r="M87" s="751"/>
      <c r="N87" s="751"/>
      <c r="O87" s="751"/>
      <c r="P87" s="751"/>
      <c r="Q87" s="751"/>
      <c r="R87" s="751"/>
      <c r="S87" s="706" t="str">
        <f>メイン!F80</f>
        <v>ルールの設定､周知､点検</v>
      </c>
      <c r="T87" s="706"/>
      <c r="U87" s="706"/>
      <c r="V87" s="706"/>
      <c r="W87" s="706"/>
      <c r="X87" s="706"/>
      <c r="Y87" s="706"/>
      <c r="Z87" s="706"/>
      <c r="AA87" s="706"/>
      <c r="AB87" s="706"/>
      <c r="AC87" s="706"/>
      <c r="AD87" s="706"/>
      <c r="AE87" s="706"/>
      <c r="AF87" s="706"/>
      <c r="AG87" s="376"/>
      <c r="AH87" s="665"/>
      <c r="AI87" s="666"/>
      <c r="AJ87" s="666"/>
      <c r="AK87" s="667"/>
      <c r="AL87" s="717" t="str">
        <f ca="1">メイン!L80</f>
        <v>-</v>
      </c>
      <c r="AM87" s="717"/>
      <c r="AN87" s="717"/>
      <c r="AO87" s="715" t="str">
        <f ca="1">メイン!M80</f>
        <v>-</v>
      </c>
      <c r="AP87" s="715"/>
      <c r="AQ87" s="715"/>
      <c r="AR87" s="715" t="str">
        <f>メイン!N80</f>
        <v>-</v>
      </c>
      <c r="AS87" s="715"/>
      <c r="AT87" s="715"/>
    </row>
    <row r="88" spans="2:46" ht="39.950000000000003" customHeight="1" thickTop="1" thickBot="1">
      <c r="B88" s="718"/>
      <c r="C88" s="718"/>
      <c r="D88" s="699">
        <v>63</v>
      </c>
      <c r="E88" s="699"/>
      <c r="F88" s="609" t="str">
        <f ca="1">IF(OFFSET(削減率設定!$Q$4,$D88,0)="○","★","")</f>
        <v/>
      </c>
      <c r="G88" s="610"/>
      <c r="H88" s="750" t="str">
        <f>メイン!E81</f>
        <v>個人用端末の不用、離席時の停止</v>
      </c>
      <c r="I88" s="751"/>
      <c r="J88" s="751"/>
      <c r="K88" s="751"/>
      <c r="L88" s="751"/>
      <c r="M88" s="751"/>
      <c r="N88" s="751"/>
      <c r="O88" s="751"/>
      <c r="P88" s="751"/>
      <c r="Q88" s="751"/>
      <c r="R88" s="751"/>
      <c r="S88" s="706" t="str">
        <f>メイン!F81</f>
        <v>ルールの設定､周知､点検</v>
      </c>
      <c r="T88" s="706"/>
      <c r="U88" s="706"/>
      <c r="V88" s="706"/>
      <c r="W88" s="706"/>
      <c r="X88" s="706"/>
      <c r="Y88" s="706"/>
      <c r="Z88" s="706"/>
      <c r="AA88" s="706"/>
      <c r="AB88" s="706"/>
      <c r="AC88" s="706"/>
      <c r="AD88" s="706"/>
      <c r="AE88" s="706"/>
      <c r="AF88" s="706"/>
      <c r="AG88" s="376"/>
      <c r="AH88" s="665"/>
      <c r="AI88" s="666"/>
      <c r="AJ88" s="666"/>
      <c r="AK88" s="667"/>
      <c r="AL88" s="717" t="str">
        <f ca="1">メイン!L81</f>
        <v>-</v>
      </c>
      <c r="AM88" s="717"/>
      <c r="AN88" s="717"/>
      <c r="AO88" s="715" t="str">
        <f ca="1">メイン!M81</f>
        <v>-</v>
      </c>
      <c r="AP88" s="715"/>
      <c r="AQ88" s="715"/>
      <c r="AR88" s="715" t="str">
        <f>メイン!N81</f>
        <v>-</v>
      </c>
      <c r="AS88" s="715"/>
      <c r="AT88" s="715"/>
    </row>
    <row r="89" spans="2:46" ht="39.950000000000003" customHeight="1" thickTop="1" thickBot="1">
      <c r="B89" s="718"/>
      <c r="C89" s="718"/>
      <c r="D89" s="699">
        <v>64</v>
      </c>
      <c r="E89" s="699"/>
      <c r="F89" s="609" t="str">
        <f ca="1">IF(OFFSET(削減率設定!$Q$4,$D89,0)="○","★","")</f>
        <v/>
      </c>
      <c r="G89" s="610"/>
      <c r="H89" s="750" t="str">
        <f>メイン!E82</f>
        <v>事務用機器の集約による台数削減</v>
      </c>
      <c r="I89" s="751"/>
      <c r="J89" s="751"/>
      <c r="K89" s="751"/>
      <c r="L89" s="751"/>
      <c r="M89" s="751"/>
      <c r="N89" s="751"/>
      <c r="O89" s="751"/>
      <c r="P89" s="751"/>
      <c r="Q89" s="751"/>
      <c r="R89" s="751"/>
      <c r="S89" s="706" t="str">
        <f>メイン!F82</f>
        <v>台数削減､複合機の採用</v>
      </c>
      <c r="T89" s="706"/>
      <c r="U89" s="706"/>
      <c r="V89" s="706"/>
      <c r="W89" s="706"/>
      <c r="X89" s="706"/>
      <c r="Y89" s="706"/>
      <c r="Z89" s="706"/>
      <c r="AA89" s="706"/>
      <c r="AB89" s="706"/>
      <c r="AC89" s="706"/>
      <c r="AD89" s="706"/>
      <c r="AE89" s="706"/>
      <c r="AF89" s="706"/>
      <c r="AG89" s="376"/>
      <c r="AH89" s="665"/>
      <c r="AI89" s="666"/>
      <c r="AJ89" s="666"/>
      <c r="AK89" s="667"/>
      <c r="AL89" s="717" t="str">
        <f ca="1">メイン!L82</f>
        <v>-</v>
      </c>
      <c r="AM89" s="717"/>
      <c r="AN89" s="717"/>
      <c r="AO89" s="715" t="str">
        <f ca="1">メイン!M82</f>
        <v>-</v>
      </c>
      <c r="AP89" s="715"/>
      <c r="AQ89" s="715"/>
      <c r="AR89" s="715" t="str">
        <f>メイン!N82</f>
        <v>-</v>
      </c>
      <c r="AS89" s="715"/>
      <c r="AT89" s="715"/>
    </row>
    <row r="90" spans="2:46" ht="39.950000000000003" customHeight="1" thickTop="1" thickBot="1">
      <c r="B90" s="718"/>
      <c r="C90" s="718"/>
      <c r="D90" s="699">
        <v>65</v>
      </c>
      <c r="E90" s="699"/>
      <c r="F90" s="609" t="str">
        <f ca="1">IF(OFFSET(削減率設定!$Q$4,$D90,0)="○","★","")</f>
        <v/>
      </c>
      <c r="G90" s="610"/>
      <c r="H90" s="750" t="str">
        <f>メイン!E83</f>
        <v>不用な機器の電源オフ</v>
      </c>
      <c r="I90" s="751"/>
      <c r="J90" s="751"/>
      <c r="K90" s="751"/>
      <c r="L90" s="751"/>
      <c r="M90" s="751"/>
      <c r="N90" s="751"/>
      <c r="O90" s="751"/>
      <c r="P90" s="751"/>
      <c r="Q90" s="751"/>
      <c r="R90" s="751"/>
      <c r="S90" s="706" t="str">
        <f>メイン!F83</f>
        <v>ルールの設定､周知､点検</v>
      </c>
      <c r="T90" s="706"/>
      <c r="U90" s="706"/>
      <c r="V90" s="706"/>
      <c r="W90" s="706"/>
      <c r="X90" s="706"/>
      <c r="Y90" s="706"/>
      <c r="Z90" s="706"/>
      <c r="AA90" s="706"/>
      <c r="AB90" s="706"/>
      <c r="AC90" s="706"/>
      <c r="AD90" s="706"/>
      <c r="AE90" s="706"/>
      <c r="AF90" s="706"/>
      <c r="AG90" s="376"/>
      <c r="AH90" s="665"/>
      <c r="AI90" s="666"/>
      <c r="AJ90" s="666"/>
      <c r="AK90" s="667"/>
      <c r="AL90" s="717" t="str">
        <f ca="1">メイン!L83</f>
        <v>-</v>
      </c>
      <c r="AM90" s="717"/>
      <c r="AN90" s="717"/>
      <c r="AO90" s="715" t="str">
        <f ca="1">メイン!M83</f>
        <v>-</v>
      </c>
      <c r="AP90" s="715"/>
      <c r="AQ90" s="715"/>
      <c r="AR90" s="715" t="str">
        <f>メイン!N83</f>
        <v>-</v>
      </c>
      <c r="AS90" s="715"/>
      <c r="AT90" s="715"/>
    </row>
    <row r="91" spans="2:46" ht="39.950000000000003" customHeight="1" thickTop="1" thickBot="1">
      <c r="B91" s="718"/>
      <c r="C91" s="718"/>
      <c r="D91" s="699">
        <v>66</v>
      </c>
      <c r="E91" s="699"/>
      <c r="F91" s="609" t="str">
        <f ca="1">IF(OFFSET(削減率設定!$Q$4,$D91,0)="○","★","")</f>
        <v/>
      </c>
      <c r="G91" s="610"/>
      <c r="H91" s="750" t="str">
        <f>メイン!E84</f>
        <v>サーバー室、エリアの空調温度の適正化</v>
      </c>
      <c r="I91" s="751"/>
      <c r="J91" s="751"/>
      <c r="K91" s="751"/>
      <c r="L91" s="751"/>
      <c r="M91" s="751"/>
      <c r="N91" s="751"/>
      <c r="O91" s="751"/>
      <c r="P91" s="751"/>
      <c r="Q91" s="751"/>
      <c r="R91" s="751"/>
      <c r="S91" s="706" t="str">
        <f>メイン!F84</f>
        <v>サーバーの動作保証温度に合わせて設定</v>
      </c>
      <c r="T91" s="706"/>
      <c r="U91" s="706"/>
      <c r="V91" s="706"/>
      <c r="W91" s="706"/>
      <c r="X91" s="706"/>
      <c r="Y91" s="706"/>
      <c r="Z91" s="706"/>
      <c r="AA91" s="706"/>
      <c r="AB91" s="706"/>
      <c r="AC91" s="706"/>
      <c r="AD91" s="706"/>
      <c r="AE91" s="706"/>
      <c r="AF91" s="706"/>
      <c r="AG91" s="376"/>
      <c r="AH91" s="665"/>
      <c r="AI91" s="666"/>
      <c r="AJ91" s="666"/>
      <c r="AK91" s="667"/>
      <c r="AL91" s="717" t="str">
        <f ca="1">メイン!L84</f>
        <v>-</v>
      </c>
      <c r="AM91" s="717"/>
      <c r="AN91" s="717"/>
      <c r="AO91" s="715" t="str">
        <f ca="1">メイン!M84</f>
        <v>-</v>
      </c>
      <c r="AP91" s="715"/>
      <c r="AQ91" s="715"/>
      <c r="AR91" s="715" t="str">
        <f>メイン!N84</f>
        <v>-</v>
      </c>
      <c r="AS91" s="715"/>
      <c r="AT91" s="715"/>
    </row>
    <row r="92" spans="2:46" ht="39.950000000000003" customHeight="1" thickTop="1" thickBot="1">
      <c r="B92" s="718"/>
      <c r="C92" s="718"/>
      <c r="D92" s="699">
        <v>67</v>
      </c>
      <c r="E92" s="699"/>
      <c r="F92" s="609" t="str">
        <f ca="1">IF(OFFSET(削減率設定!$Q$4,$D92,0)="○","★","")</f>
        <v/>
      </c>
      <c r="G92" s="610"/>
      <c r="H92" s="750" t="str">
        <f>メイン!E85</f>
        <v>ブラインド類の運用の適正化</v>
      </c>
      <c r="I92" s="751"/>
      <c r="J92" s="751"/>
      <c r="K92" s="751"/>
      <c r="L92" s="751"/>
      <c r="M92" s="751"/>
      <c r="N92" s="751"/>
      <c r="O92" s="751"/>
      <c r="P92" s="751"/>
      <c r="Q92" s="751"/>
      <c r="R92" s="751"/>
      <c r="S92" s="706" t="str">
        <f>メイン!F85</f>
        <v>ルールの設定､周知､点検（例：夏季日中や冬季帰宅時は閉）</v>
      </c>
      <c r="T92" s="706"/>
      <c r="U92" s="706"/>
      <c r="V92" s="706"/>
      <c r="W92" s="706"/>
      <c r="X92" s="706"/>
      <c r="Y92" s="706"/>
      <c r="Z92" s="706"/>
      <c r="AA92" s="706"/>
      <c r="AB92" s="706"/>
      <c r="AC92" s="706"/>
      <c r="AD92" s="706"/>
      <c r="AE92" s="706"/>
      <c r="AF92" s="706"/>
      <c r="AG92" s="376"/>
      <c r="AH92" s="665"/>
      <c r="AI92" s="666"/>
      <c r="AJ92" s="666"/>
      <c r="AK92" s="667"/>
      <c r="AL92" s="717" t="str">
        <f ca="1">メイン!L85</f>
        <v>-</v>
      </c>
      <c r="AM92" s="717"/>
      <c r="AN92" s="717"/>
      <c r="AO92" s="715" t="str">
        <f ca="1">メイン!M85</f>
        <v>-</v>
      </c>
      <c r="AP92" s="715"/>
      <c r="AQ92" s="715"/>
      <c r="AR92" s="715" t="str">
        <f>メイン!N85</f>
        <v>-</v>
      </c>
      <c r="AS92" s="715"/>
      <c r="AT92" s="715"/>
    </row>
    <row r="93" spans="2:46" ht="39.950000000000003" customHeight="1" thickTop="1" thickBot="1">
      <c r="B93" s="718"/>
      <c r="C93" s="718"/>
      <c r="D93" s="699">
        <v>68</v>
      </c>
      <c r="E93" s="699"/>
      <c r="F93" s="609" t="str">
        <f ca="1">IF(OFFSET(削減率設定!$Q$4,$D93,0)="○","★","")</f>
        <v/>
      </c>
      <c r="G93" s="610"/>
      <c r="H93" s="750" t="str">
        <f>メイン!E86</f>
        <v>照明の反射防止ルーバーの撤去</v>
      </c>
      <c r="I93" s="751"/>
      <c r="J93" s="751"/>
      <c r="K93" s="751"/>
      <c r="L93" s="751"/>
      <c r="M93" s="751"/>
      <c r="N93" s="751"/>
      <c r="O93" s="751"/>
      <c r="P93" s="751"/>
      <c r="Q93" s="751"/>
      <c r="R93" s="751"/>
      <c r="S93" s="706" t="str">
        <f>メイン!F86</f>
        <v>反射防止ルーバーを撤去して､必要照度を確保できる範囲で間引き</v>
      </c>
      <c r="T93" s="706"/>
      <c r="U93" s="706"/>
      <c r="V93" s="706"/>
      <c r="W93" s="706"/>
      <c r="X93" s="706"/>
      <c r="Y93" s="706"/>
      <c r="Z93" s="706"/>
      <c r="AA93" s="706"/>
      <c r="AB93" s="706"/>
      <c r="AC93" s="706"/>
      <c r="AD93" s="706"/>
      <c r="AE93" s="706"/>
      <c r="AF93" s="706"/>
      <c r="AG93" s="376"/>
      <c r="AH93" s="665"/>
      <c r="AI93" s="666"/>
      <c r="AJ93" s="666"/>
      <c r="AK93" s="667"/>
      <c r="AL93" s="717" t="str">
        <f ca="1">メイン!L86</f>
        <v>-</v>
      </c>
      <c r="AM93" s="717"/>
      <c r="AN93" s="717"/>
      <c r="AO93" s="715" t="str">
        <f ca="1">メイン!M86</f>
        <v>-</v>
      </c>
      <c r="AP93" s="715"/>
      <c r="AQ93" s="715"/>
      <c r="AR93" s="715" t="str">
        <f>メイン!N86</f>
        <v>-</v>
      </c>
      <c r="AS93" s="715"/>
      <c r="AT93" s="715"/>
    </row>
    <row r="94" spans="2:46" ht="39.950000000000003" customHeight="1" thickTop="1" thickBot="1">
      <c r="B94" s="718"/>
      <c r="C94" s="718"/>
      <c r="D94" s="699">
        <v>69</v>
      </c>
      <c r="E94" s="699"/>
      <c r="F94" s="609" t="str">
        <f ca="1">IF(OFFSET(削減率設定!$Q$4,$D94,0)="○","★","")</f>
        <v/>
      </c>
      <c r="G94" s="610"/>
      <c r="H94" s="750" t="str">
        <f>メイン!E87</f>
        <v>自動販売機の節電</v>
      </c>
      <c r="I94" s="751"/>
      <c r="J94" s="751"/>
      <c r="K94" s="751"/>
      <c r="L94" s="751"/>
      <c r="M94" s="751"/>
      <c r="N94" s="751"/>
      <c r="O94" s="751"/>
      <c r="P94" s="751"/>
      <c r="Q94" s="751"/>
      <c r="R94" s="751"/>
      <c r="S94" s="706" t="str">
        <f>メイン!F87</f>
        <v>消灯､最新機種への更新（例：ヒートポンプ方式等の省エネ技術が採用されている機種に更新）</v>
      </c>
      <c r="T94" s="706"/>
      <c r="U94" s="706"/>
      <c r="V94" s="706"/>
      <c r="W94" s="706"/>
      <c r="X94" s="706"/>
      <c r="Y94" s="706"/>
      <c r="Z94" s="706"/>
      <c r="AA94" s="706"/>
      <c r="AB94" s="706"/>
      <c r="AC94" s="706"/>
      <c r="AD94" s="706"/>
      <c r="AE94" s="706"/>
      <c r="AF94" s="706"/>
      <c r="AG94" s="376"/>
      <c r="AH94" s="665"/>
      <c r="AI94" s="666"/>
      <c r="AJ94" s="666"/>
      <c r="AK94" s="667"/>
      <c r="AL94" s="717" t="str">
        <f ca="1">メイン!L87</f>
        <v>-</v>
      </c>
      <c r="AM94" s="717"/>
      <c r="AN94" s="717"/>
      <c r="AO94" s="715" t="str">
        <f ca="1">メイン!M87</f>
        <v>-</v>
      </c>
      <c r="AP94" s="715"/>
      <c r="AQ94" s="715"/>
      <c r="AR94" s="715" t="str">
        <f>メイン!N87</f>
        <v>-</v>
      </c>
      <c r="AS94" s="715"/>
      <c r="AT94" s="715"/>
    </row>
    <row r="95" spans="2:46" ht="39.950000000000003" customHeight="1" thickTop="1" thickBot="1">
      <c r="B95" s="718"/>
      <c r="C95" s="718"/>
      <c r="D95" s="699">
        <v>70</v>
      </c>
      <c r="E95" s="699"/>
      <c r="F95" s="609" t="str">
        <f ca="1">IF(OFFSET(削減率設定!$Q$4,$D95,0)="○","★","")</f>
        <v>★</v>
      </c>
      <c r="G95" s="610"/>
      <c r="H95" s="746" t="str">
        <f>メイン!E88</f>
        <v>冬季以外の便座ヒーターの停止等</v>
      </c>
      <c r="I95" s="747"/>
      <c r="J95" s="747"/>
      <c r="K95" s="747"/>
      <c r="L95" s="747"/>
      <c r="M95" s="747"/>
      <c r="N95" s="747"/>
      <c r="O95" s="747"/>
      <c r="P95" s="747"/>
      <c r="Q95" s="747"/>
      <c r="R95" s="747"/>
      <c r="S95" s="765" t="str">
        <f>メイン!F88</f>
        <v>冬季以外停止､加温時の設定温度「低」､ふた閉め</v>
      </c>
      <c r="T95" s="765"/>
      <c r="U95" s="765"/>
      <c r="V95" s="765"/>
      <c r="W95" s="765"/>
      <c r="X95" s="765"/>
      <c r="Y95" s="765"/>
      <c r="Z95" s="765"/>
      <c r="AA95" s="765"/>
      <c r="AB95" s="765"/>
      <c r="AC95" s="765"/>
      <c r="AD95" s="765"/>
      <c r="AE95" s="765"/>
      <c r="AF95" s="765"/>
      <c r="AG95" s="378"/>
      <c r="AH95" s="665"/>
      <c r="AI95" s="666"/>
      <c r="AJ95" s="666"/>
      <c r="AK95" s="667"/>
      <c r="AL95" s="717" t="str">
        <f ca="1">メイン!L88</f>
        <v>-</v>
      </c>
      <c r="AM95" s="717"/>
      <c r="AN95" s="717"/>
      <c r="AO95" s="715" t="str">
        <f ca="1">メイン!M88</f>
        <v>-</v>
      </c>
      <c r="AP95" s="715"/>
      <c r="AQ95" s="715"/>
      <c r="AR95" s="715" t="str">
        <f>メイン!N88</f>
        <v>-</v>
      </c>
      <c r="AS95" s="715"/>
      <c r="AT95" s="715"/>
    </row>
    <row r="96" spans="2:46" ht="20.100000000000001" customHeight="1" thickTop="1">
      <c r="B96" s="102"/>
      <c r="C96" s="102"/>
      <c r="D96" s="103"/>
      <c r="E96" s="103"/>
      <c r="F96" s="103"/>
      <c r="G96" s="103"/>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375"/>
      <c r="AH96" s="103"/>
      <c r="AI96" s="103"/>
      <c r="AJ96" s="103"/>
      <c r="AK96" s="103"/>
      <c r="AL96" s="103"/>
      <c r="AM96" s="103"/>
      <c r="AN96" s="103"/>
      <c r="AO96" s="103"/>
      <c r="AP96" s="103"/>
      <c r="AQ96" s="103"/>
      <c r="AR96" s="103"/>
      <c r="AS96" s="103"/>
      <c r="AT96" s="103"/>
    </row>
    <row r="97" spans="2:46" ht="20.25" hidden="1" customHeight="1">
      <c r="B97" s="102"/>
      <c r="C97" s="102"/>
      <c r="D97" s="103"/>
      <c r="E97" s="103"/>
      <c r="F97" s="103"/>
      <c r="G97" s="103"/>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3"/>
      <c r="AI97" s="103"/>
      <c r="AJ97" s="103"/>
      <c r="AK97" s="103"/>
      <c r="AL97" s="103"/>
      <c r="AM97" s="103"/>
      <c r="AN97" s="103"/>
      <c r="AO97" s="103"/>
      <c r="AP97" s="103"/>
      <c r="AQ97" s="103"/>
      <c r="AR97" s="103"/>
      <c r="AS97" s="103"/>
      <c r="AT97" s="103"/>
    </row>
    <row r="98" spans="2:46" ht="20.100000000000001" hidden="1" customHeight="1">
      <c r="B98" s="102"/>
      <c r="C98" s="102"/>
      <c r="D98" s="103"/>
      <c r="E98" s="103"/>
      <c r="F98" s="103"/>
      <c r="G98" s="103"/>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3"/>
      <c r="AI98" s="103"/>
      <c r="AJ98" s="103"/>
      <c r="AK98" s="103"/>
      <c r="AL98" s="103"/>
      <c r="AM98" s="103"/>
      <c r="AN98" s="103"/>
      <c r="AO98" s="103"/>
      <c r="AP98" s="103"/>
      <c r="AQ98" s="103"/>
      <c r="AR98" s="103"/>
      <c r="AS98" s="103"/>
      <c r="AT98" s="103"/>
    </row>
    <row r="99" spans="2:46" ht="20.100000000000001" hidden="1" customHeight="1">
      <c r="B99" s="102"/>
      <c r="C99" s="102"/>
      <c r="D99" s="103"/>
      <c r="E99" s="103"/>
      <c r="F99" s="103"/>
      <c r="G99" s="103"/>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3"/>
      <c r="AI99" s="103"/>
      <c r="AJ99" s="103"/>
      <c r="AK99" s="103"/>
      <c r="AL99" s="103"/>
      <c r="AM99" s="103"/>
      <c r="AN99" s="103"/>
      <c r="AO99" s="103"/>
      <c r="AP99" s="103"/>
      <c r="AQ99" s="103"/>
      <c r="AR99" s="103"/>
      <c r="AS99" s="103"/>
      <c r="AT99" s="103"/>
    </row>
    <row r="100" spans="2:46" ht="20.100000000000001" hidden="1" customHeight="1">
      <c r="B100" s="102"/>
      <c r="C100" s="102"/>
      <c r="D100" s="103"/>
      <c r="E100" s="103"/>
      <c r="F100" s="103"/>
      <c r="G100" s="103"/>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3"/>
      <c r="AI100" s="103"/>
      <c r="AJ100" s="103"/>
      <c r="AK100" s="103"/>
      <c r="AL100" s="103"/>
      <c r="AM100" s="103"/>
      <c r="AN100" s="103"/>
      <c r="AO100" s="103"/>
      <c r="AP100" s="103"/>
      <c r="AQ100" s="103"/>
      <c r="AR100" s="103"/>
      <c r="AS100" s="103"/>
      <c r="AT100" s="103"/>
    </row>
    <row r="101" spans="2:46" ht="20.100000000000001" hidden="1" customHeight="1">
      <c r="B101" s="102"/>
      <c r="C101" s="102"/>
      <c r="D101" s="103"/>
      <c r="E101" s="103"/>
      <c r="F101" s="103"/>
      <c r="G101" s="103"/>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3"/>
      <c r="AI101" s="103"/>
      <c r="AJ101" s="103"/>
      <c r="AK101" s="103"/>
      <c r="AL101" s="103"/>
      <c r="AM101" s="103"/>
      <c r="AN101" s="103"/>
      <c r="AO101" s="103"/>
      <c r="AP101" s="103"/>
      <c r="AQ101" s="103"/>
      <c r="AR101" s="103"/>
      <c r="AS101" s="103"/>
      <c r="AT101" s="103"/>
    </row>
    <row r="102" spans="2:46" ht="20.100000000000001" hidden="1" customHeight="1">
      <c r="B102" s="102"/>
      <c r="C102" s="102"/>
      <c r="D102" s="103"/>
      <c r="E102" s="103"/>
      <c r="F102" s="103"/>
      <c r="G102" s="103"/>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3"/>
      <c r="AI102" s="103"/>
      <c r="AJ102" s="103"/>
      <c r="AK102" s="103"/>
      <c r="AL102" s="103"/>
      <c r="AM102" s="103"/>
      <c r="AN102" s="103"/>
      <c r="AO102" s="103"/>
      <c r="AP102" s="103"/>
      <c r="AQ102" s="103"/>
      <c r="AR102" s="103"/>
      <c r="AS102" s="103"/>
      <c r="AT102" s="103"/>
    </row>
    <row r="103" spans="2:46" ht="20.100000000000001" hidden="1" customHeight="1">
      <c r="B103" s="102"/>
      <c r="C103" s="102"/>
      <c r="D103" s="103"/>
      <c r="E103" s="103"/>
      <c r="F103" s="103"/>
      <c r="G103" s="103"/>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3"/>
      <c r="AI103" s="103"/>
      <c r="AJ103" s="103"/>
      <c r="AK103" s="103"/>
      <c r="AL103" s="103"/>
      <c r="AM103" s="103"/>
      <c r="AN103" s="103"/>
      <c r="AO103" s="103"/>
      <c r="AP103" s="103"/>
      <c r="AQ103" s="103"/>
      <c r="AR103" s="103"/>
      <c r="AS103" s="103"/>
      <c r="AT103" s="103"/>
    </row>
    <row r="104" spans="2:46" ht="20.100000000000001" hidden="1" customHeight="1">
      <c r="B104" s="102"/>
      <c r="C104" s="102"/>
      <c r="D104" s="103"/>
      <c r="E104" s="103"/>
      <c r="F104" s="103"/>
      <c r="G104" s="103"/>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3"/>
      <c r="AI104" s="103"/>
      <c r="AJ104" s="103"/>
      <c r="AK104" s="103"/>
      <c r="AL104" s="103"/>
      <c r="AM104" s="103"/>
      <c r="AN104" s="103"/>
      <c r="AO104" s="103"/>
      <c r="AP104" s="103"/>
      <c r="AQ104" s="103"/>
      <c r="AR104" s="103"/>
      <c r="AS104" s="103"/>
      <c r="AT104" s="103"/>
    </row>
    <row r="105" spans="2:46" ht="20.100000000000001" hidden="1" customHeight="1">
      <c r="B105" s="102"/>
      <c r="C105" s="102"/>
      <c r="D105" s="103"/>
      <c r="E105" s="103"/>
      <c r="F105" s="103"/>
      <c r="G105" s="103"/>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3"/>
      <c r="AI105" s="103"/>
      <c r="AJ105" s="103"/>
      <c r="AK105" s="103"/>
      <c r="AL105" s="103"/>
      <c r="AM105" s="103"/>
      <c r="AN105" s="103"/>
      <c r="AO105" s="103"/>
      <c r="AP105" s="103"/>
      <c r="AQ105" s="103"/>
      <c r="AR105" s="103"/>
      <c r="AS105" s="103"/>
      <c r="AT105" s="103"/>
    </row>
    <row r="106" spans="2:46" ht="20.100000000000001" hidden="1" customHeight="1">
      <c r="B106" s="102"/>
      <c r="C106" s="102"/>
      <c r="D106" s="103"/>
      <c r="E106" s="103"/>
      <c r="F106" s="103"/>
      <c r="G106" s="103"/>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3"/>
      <c r="AI106" s="103"/>
      <c r="AJ106" s="103"/>
      <c r="AK106" s="103"/>
      <c r="AL106" s="103"/>
      <c r="AM106" s="103"/>
      <c r="AN106" s="103"/>
      <c r="AO106" s="103"/>
      <c r="AP106" s="103"/>
      <c r="AQ106" s="103"/>
      <c r="AR106" s="103"/>
      <c r="AS106" s="103"/>
      <c r="AT106" s="103"/>
    </row>
    <row r="107" spans="2:46" ht="20.100000000000001" hidden="1" customHeight="1">
      <c r="B107" s="102"/>
      <c r="C107" s="102"/>
      <c r="D107" s="103"/>
      <c r="E107" s="103"/>
      <c r="F107" s="103"/>
      <c r="G107" s="103"/>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3"/>
      <c r="AI107" s="103"/>
      <c r="AJ107" s="103"/>
      <c r="AK107" s="103"/>
      <c r="AL107" s="103"/>
      <c r="AM107" s="103"/>
      <c r="AN107" s="103"/>
      <c r="AO107" s="103"/>
      <c r="AP107" s="103"/>
      <c r="AQ107" s="103"/>
      <c r="AR107" s="103"/>
      <c r="AS107" s="103"/>
      <c r="AT107" s="103"/>
    </row>
    <row r="108" spans="2:46" ht="20.100000000000001" hidden="1" customHeight="1">
      <c r="B108" s="102"/>
      <c r="C108" s="102"/>
      <c r="D108" s="103"/>
      <c r="E108" s="103"/>
      <c r="F108" s="103"/>
      <c r="G108" s="103"/>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3"/>
      <c r="AI108" s="103"/>
      <c r="AJ108" s="103"/>
      <c r="AK108" s="103"/>
      <c r="AL108" s="103"/>
      <c r="AM108" s="103"/>
      <c r="AN108" s="103"/>
      <c r="AO108" s="103"/>
      <c r="AP108" s="103"/>
      <c r="AQ108" s="103"/>
      <c r="AR108" s="103"/>
      <c r="AS108" s="103"/>
      <c r="AT108" s="103"/>
    </row>
    <row r="109" spans="2:46" ht="20.100000000000001" hidden="1" customHeight="1">
      <c r="B109" s="102"/>
      <c r="C109" s="102"/>
      <c r="D109" s="103"/>
      <c r="E109" s="103"/>
      <c r="F109" s="103"/>
      <c r="G109" s="103"/>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3"/>
      <c r="AI109" s="103"/>
      <c r="AJ109" s="103"/>
      <c r="AK109" s="103"/>
      <c r="AL109" s="103"/>
      <c r="AM109" s="103"/>
      <c r="AN109" s="103"/>
      <c r="AO109" s="103"/>
      <c r="AP109" s="103"/>
      <c r="AQ109" s="103"/>
      <c r="AR109" s="103"/>
      <c r="AS109" s="103"/>
      <c r="AT109" s="103"/>
    </row>
    <row r="110" spans="2:46" ht="20.100000000000001" hidden="1" customHeight="1">
      <c r="B110" s="102"/>
      <c r="C110" s="102"/>
      <c r="D110" s="103"/>
      <c r="E110" s="103"/>
      <c r="F110" s="103"/>
      <c r="G110" s="103"/>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3"/>
      <c r="AI110" s="103"/>
      <c r="AJ110" s="103"/>
      <c r="AK110" s="103"/>
      <c r="AL110" s="103"/>
      <c r="AM110" s="103"/>
      <c r="AN110" s="103"/>
      <c r="AO110" s="103"/>
      <c r="AP110" s="103"/>
      <c r="AQ110" s="103"/>
      <c r="AR110" s="103"/>
      <c r="AS110" s="103"/>
      <c r="AT110" s="103"/>
    </row>
    <row r="111" spans="2:46" ht="20.100000000000001" hidden="1" customHeight="1">
      <c r="B111" s="102"/>
      <c r="C111" s="102"/>
      <c r="D111" s="103"/>
      <c r="E111" s="103"/>
      <c r="F111" s="103"/>
      <c r="G111" s="103"/>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3"/>
      <c r="AI111" s="103"/>
      <c r="AJ111" s="103"/>
      <c r="AK111" s="103"/>
      <c r="AL111" s="103"/>
      <c r="AM111" s="103"/>
      <c r="AN111" s="103"/>
      <c r="AO111" s="103"/>
      <c r="AP111" s="103"/>
      <c r="AQ111" s="103"/>
      <c r="AR111" s="103"/>
      <c r="AS111" s="103"/>
      <c r="AT111" s="103"/>
    </row>
    <row r="112" spans="2:46" ht="20.100000000000001" hidden="1" customHeight="1">
      <c r="B112" s="102"/>
      <c r="C112" s="102"/>
      <c r="D112" s="103"/>
      <c r="E112" s="103"/>
      <c r="F112" s="103"/>
      <c r="G112" s="103"/>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3"/>
      <c r="AI112" s="103"/>
      <c r="AJ112" s="103"/>
      <c r="AK112" s="103"/>
      <c r="AL112" s="103"/>
      <c r="AM112" s="103"/>
      <c r="AN112" s="103"/>
      <c r="AO112" s="103"/>
      <c r="AP112" s="103"/>
      <c r="AQ112" s="103"/>
      <c r="AR112" s="103"/>
      <c r="AS112" s="103"/>
      <c r="AT112" s="103"/>
    </row>
    <row r="113" spans="2:46" ht="20.100000000000001" hidden="1" customHeight="1">
      <c r="B113" s="102"/>
      <c r="C113" s="102"/>
      <c r="D113" s="103"/>
      <c r="E113" s="103"/>
      <c r="F113" s="103"/>
      <c r="G113" s="103"/>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3"/>
      <c r="AI113" s="103"/>
      <c r="AJ113" s="103"/>
      <c r="AK113" s="103"/>
      <c r="AL113" s="103"/>
      <c r="AM113" s="103"/>
      <c r="AN113" s="103"/>
      <c r="AO113" s="103"/>
      <c r="AP113" s="103"/>
      <c r="AQ113" s="103"/>
      <c r="AR113" s="103"/>
      <c r="AS113" s="103"/>
      <c r="AT113" s="103"/>
    </row>
    <row r="114" spans="2:46" ht="20.100000000000001" hidden="1" customHeight="1">
      <c r="B114" s="102"/>
      <c r="C114" s="102"/>
      <c r="D114" s="103"/>
      <c r="E114" s="103"/>
      <c r="F114" s="103"/>
      <c r="G114" s="103"/>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3"/>
      <c r="AI114" s="103"/>
      <c r="AJ114" s="103"/>
      <c r="AK114" s="103"/>
      <c r="AL114" s="103"/>
      <c r="AM114" s="103"/>
      <c r="AN114" s="103"/>
      <c r="AO114" s="103"/>
      <c r="AP114" s="103"/>
      <c r="AQ114" s="103"/>
      <c r="AR114" s="103"/>
      <c r="AS114" s="103"/>
      <c r="AT114" s="103"/>
    </row>
    <row r="115" spans="2:46" ht="20.100000000000001" hidden="1" customHeight="1">
      <c r="B115" s="102"/>
      <c r="C115" s="102"/>
      <c r="D115" s="103"/>
      <c r="E115" s="103"/>
      <c r="F115" s="103"/>
      <c r="G115" s="103"/>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3"/>
      <c r="AI115" s="103"/>
      <c r="AJ115" s="103"/>
      <c r="AK115" s="103"/>
      <c r="AL115" s="103"/>
      <c r="AM115" s="103"/>
      <c r="AN115" s="103"/>
      <c r="AO115" s="103"/>
      <c r="AP115" s="103"/>
      <c r="AQ115" s="103"/>
      <c r="AR115" s="103"/>
      <c r="AS115" s="103"/>
      <c r="AT115" s="103"/>
    </row>
    <row r="116" spans="2:46" ht="20.100000000000001" hidden="1" customHeight="1">
      <c r="B116" s="102"/>
      <c r="C116" s="102"/>
      <c r="D116" s="103"/>
      <c r="E116" s="103"/>
      <c r="F116" s="103"/>
      <c r="G116" s="103"/>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3"/>
      <c r="AI116" s="103"/>
      <c r="AJ116" s="103"/>
      <c r="AK116" s="103"/>
      <c r="AL116" s="103"/>
      <c r="AM116" s="103"/>
      <c r="AN116" s="103"/>
      <c r="AO116" s="103"/>
      <c r="AP116" s="103"/>
      <c r="AQ116" s="103"/>
      <c r="AR116" s="103"/>
      <c r="AS116" s="103"/>
      <c r="AT116" s="103"/>
    </row>
    <row r="117" spans="2:46" ht="20.100000000000001" hidden="1" customHeight="1">
      <c r="B117" s="102"/>
      <c r="C117" s="102"/>
      <c r="D117" s="103"/>
      <c r="E117" s="103"/>
      <c r="F117" s="103"/>
      <c r="G117" s="103"/>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3"/>
      <c r="AI117" s="103"/>
      <c r="AJ117" s="103"/>
      <c r="AK117" s="103"/>
      <c r="AL117" s="103"/>
      <c r="AM117" s="103"/>
      <c r="AN117" s="103"/>
      <c r="AO117" s="103"/>
      <c r="AP117" s="103"/>
      <c r="AQ117" s="103"/>
      <c r="AR117" s="103"/>
      <c r="AS117" s="103"/>
      <c r="AT117" s="103"/>
    </row>
    <row r="118" spans="2:46" ht="20.100000000000001" hidden="1" customHeight="1">
      <c r="B118" s="102"/>
      <c r="C118" s="102"/>
      <c r="D118" s="103"/>
      <c r="E118" s="103"/>
      <c r="F118" s="103"/>
      <c r="G118" s="103"/>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3"/>
      <c r="AI118" s="103"/>
      <c r="AJ118" s="103"/>
      <c r="AK118" s="103"/>
      <c r="AL118" s="103"/>
      <c r="AM118" s="103"/>
      <c r="AN118" s="103"/>
      <c r="AO118" s="103"/>
      <c r="AP118" s="103"/>
      <c r="AQ118" s="103"/>
      <c r="AR118" s="103"/>
      <c r="AS118" s="103"/>
      <c r="AT118" s="103"/>
    </row>
    <row r="119" spans="2:46" ht="20.100000000000001" hidden="1" customHeight="1">
      <c r="B119" s="102"/>
      <c r="C119" s="102"/>
      <c r="D119" s="103"/>
      <c r="E119" s="103"/>
      <c r="F119" s="103"/>
      <c r="G119" s="103"/>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3"/>
      <c r="AI119" s="103"/>
      <c r="AJ119" s="103"/>
      <c r="AK119" s="103"/>
      <c r="AL119" s="103"/>
      <c r="AM119" s="103"/>
      <c r="AN119" s="103"/>
      <c r="AO119" s="103"/>
      <c r="AP119" s="103"/>
      <c r="AQ119" s="103"/>
      <c r="AR119" s="103"/>
      <c r="AS119" s="103"/>
      <c r="AT119" s="103"/>
    </row>
    <row r="120" spans="2:46" ht="20.100000000000001" hidden="1" customHeight="1">
      <c r="B120" s="102"/>
      <c r="C120" s="102"/>
      <c r="D120" s="103"/>
      <c r="E120" s="103"/>
      <c r="F120" s="103"/>
      <c r="G120" s="103"/>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3"/>
      <c r="AI120" s="103"/>
      <c r="AJ120" s="103"/>
      <c r="AK120" s="103"/>
      <c r="AL120" s="103"/>
      <c r="AM120" s="103"/>
      <c r="AN120" s="103"/>
      <c r="AO120" s="103"/>
      <c r="AP120" s="103"/>
      <c r="AQ120" s="103"/>
      <c r="AR120" s="103"/>
      <c r="AS120" s="103"/>
      <c r="AT120" s="103"/>
    </row>
    <row r="121" spans="2:46" ht="20.100000000000001" hidden="1" customHeight="1">
      <c r="B121" s="102"/>
      <c r="C121" s="102"/>
      <c r="D121" s="103"/>
      <c r="E121" s="103"/>
      <c r="F121" s="103"/>
      <c r="G121" s="103"/>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3"/>
      <c r="AI121" s="103"/>
      <c r="AJ121" s="103"/>
      <c r="AK121" s="103"/>
      <c r="AL121" s="103"/>
      <c r="AM121" s="103"/>
      <c r="AN121" s="103"/>
      <c r="AO121" s="103"/>
      <c r="AP121" s="103"/>
      <c r="AQ121" s="103"/>
      <c r="AR121" s="103"/>
      <c r="AS121" s="103"/>
      <c r="AT121" s="103"/>
    </row>
    <row r="122" spans="2:46" ht="20.100000000000001" hidden="1" customHeight="1">
      <c r="B122" s="102"/>
      <c r="C122" s="102"/>
      <c r="D122" s="103"/>
      <c r="E122" s="103"/>
      <c r="F122" s="103"/>
      <c r="G122" s="103"/>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3"/>
      <c r="AI122" s="103"/>
      <c r="AJ122" s="103"/>
      <c r="AK122" s="103"/>
      <c r="AL122" s="103"/>
      <c r="AM122" s="103"/>
      <c r="AN122" s="103"/>
      <c r="AO122" s="103"/>
      <c r="AP122" s="103"/>
      <c r="AQ122" s="103"/>
      <c r="AR122" s="103"/>
      <c r="AS122" s="103"/>
      <c r="AT122" s="103"/>
    </row>
    <row r="123" spans="2:46" ht="20.100000000000001" hidden="1" customHeight="1">
      <c r="B123" s="102"/>
      <c r="C123" s="102"/>
      <c r="D123" s="103"/>
      <c r="E123" s="103"/>
      <c r="F123" s="103"/>
      <c r="G123" s="103"/>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3"/>
      <c r="AI123" s="103"/>
      <c r="AJ123" s="103"/>
      <c r="AK123" s="103"/>
      <c r="AL123" s="103"/>
      <c r="AM123" s="103"/>
      <c r="AN123" s="103"/>
      <c r="AO123" s="103"/>
      <c r="AP123" s="103"/>
      <c r="AQ123" s="103"/>
      <c r="AR123" s="103"/>
      <c r="AS123" s="103"/>
      <c r="AT123" s="103"/>
    </row>
    <row r="124" spans="2:46" ht="20.100000000000001" hidden="1" customHeight="1">
      <c r="B124" s="102"/>
      <c r="C124" s="102"/>
      <c r="D124" s="103"/>
      <c r="E124" s="103"/>
      <c r="F124" s="103"/>
      <c r="G124" s="103"/>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3"/>
      <c r="AI124" s="103"/>
      <c r="AJ124" s="103"/>
      <c r="AK124" s="103"/>
      <c r="AL124" s="103"/>
      <c r="AM124" s="103"/>
      <c r="AN124" s="103"/>
      <c r="AO124" s="103"/>
      <c r="AP124" s="103"/>
      <c r="AQ124" s="103"/>
      <c r="AR124" s="103"/>
      <c r="AS124" s="103"/>
      <c r="AT124" s="103"/>
    </row>
    <row r="125" spans="2:46" ht="20.100000000000001" hidden="1" customHeight="1">
      <c r="B125" s="102"/>
      <c r="C125" s="102"/>
      <c r="D125" s="103"/>
      <c r="E125" s="103"/>
      <c r="F125" s="103"/>
      <c r="G125" s="103"/>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3"/>
      <c r="AI125" s="103"/>
      <c r="AJ125" s="103"/>
      <c r="AK125" s="103"/>
      <c r="AL125" s="103"/>
      <c r="AM125" s="103"/>
      <c r="AN125" s="103"/>
      <c r="AO125" s="103"/>
      <c r="AP125" s="103"/>
      <c r="AQ125" s="103"/>
      <c r="AR125" s="103"/>
      <c r="AS125" s="103"/>
      <c r="AT125" s="103"/>
    </row>
    <row r="126" spans="2:46" ht="20.100000000000001" hidden="1" customHeight="1">
      <c r="B126" s="102"/>
      <c r="C126" s="102"/>
      <c r="D126" s="103"/>
      <c r="E126" s="103"/>
      <c r="F126" s="103"/>
      <c r="G126" s="103"/>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3"/>
      <c r="AI126" s="103"/>
      <c r="AJ126" s="103"/>
      <c r="AK126" s="103"/>
      <c r="AL126" s="103"/>
      <c r="AM126" s="103"/>
      <c r="AN126" s="103"/>
      <c r="AO126" s="103"/>
      <c r="AP126" s="103"/>
      <c r="AQ126" s="103"/>
      <c r="AR126" s="103"/>
      <c r="AS126" s="103"/>
      <c r="AT126" s="103"/>
    </row>
    <row r="127" spans="2:46" ht="20.100000000000001" hidden="1" customHeight="1">
      <c r="B127" s="102"/>
      <c r="C127" s="102"/>
      <c r="D127" s="103"/>
      <c r="E127" s="103"/>
      <c r="F127" s="103"/>
      <c r="G127" s="103"/>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3"/>
      <c r="AI127" s="103"/>
      <c r="AJ127" s="103"/>
      <c r="AK127" s="103"/>
      <c r="AL127" s="103"/>
      <c r="AM127" s="103"/>
      <c r="AN127" s="103"/>
      <c r="AO127" s="103"/>
      <c r="AP127" s="103"/>
      <c r="AQ127" s="103"/>
      <c r="AR127" s="103"/>
      <c r="AS127" s="103"/>
      <c r="AT127" s="103"/>
    </row>
    <row r="128" spans="2:46" ht="20.100000000000001" hidden="1" customHeight="1">
      <c r="B128" s="102"/>
      <c r="C128" s="102"/>
      <c r="D128" s="103"/>
      <c r="E128" s="103"/>
      <c r="F128" s="103"/>
      <c r="G128" s="103"/>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3"/>
      <c r="AI128" s="103"/>
      <c r="AJ128" s="103"/>
      <c r="AK128" s="103"/>
      <c r="AL128" s="103"/>
      <c r="AM128" s="103"/>
      <c r="AN128" s="103"/>
      <c r="AO128" s="103"/>
      <c r="AP128" s="103"/>
      <c r="AQ128" s="103"/>
      <c r="AR128" s="103"/>
      <c r="AS128" s="103"/>
      <c r="AT128" s="103"/>
    </row>
    <row r="129" spans="2:46" ht="20.100000000000001" hidden="1" customHeight="1">
      <c r="B129" s="102"/>
      <c r="C129" s="102"/>
      <c r="D129" s="103"/>
      <c r="E129" s="103"/>
      <c r="F129" s="103"/>
      <c r="G129" s="103"/>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3"/>
      <c r="AI129" s="103"/>
      <c r="AJ129" s="103"/>
      <c r="AK129" s="103"/>
      <c r="AL129" s="103"/>
      <c r="AM129" s="103"/>
      <c r="AN129" s="103"/>
      <c r="AO129" s="103"/>
      <c r="AP129" s="103"/>
      <c r="AQ129" s="103"/>
      <c r="AR129" s="103"/>
      <c r="AS129" s="103"/>
      <c r="AT129" s="103"/>
    </row>
    <row r="130" spans="2:46" ht="20.100000000000001" hidden="1" customHeight="1">
      <c r="B130" s="102"/>
      <c r="C130" s="102"/>
      <c r="D130" s="103"/>
      <c r="E130" s="103"/>
      <c r="F130" s="103"/>
      <c r="G130" s="103"/>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3"/>
      <c r="AI130" s="103"/>
      <c r="AJ130" s="103"/>
      <c r="AK130" s="103"/>
      <c r="AL130" s="103"/>
      <c r="AM130" s="103"/>
      <c r="AN130" s="103"/>
      <c r="AO130" s="103"/>
      <c r="AP130" s="103"/>
      <c r="AQ130" s="103"/>
      <c r="AR130" s="103"/>
      <c r="AS130" s="103"/>
      <c r="AT130" s="103"/>
    </row>
    <row r="131" spans="2:46" ht="20.100000000000001" hidden="1" customHeight="1">
      <c r="B131" s="102"/>
      <c r="C131" s="102"/>
      <c r="D131" s="103"/>
      <c r="E131" s="103"/>
      <c r="F131" s="103"/>
      <c r="G131" s="103"/>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3"/>
      <c r="AI131" s="103"/>
      <c r="AJ131" s="103"/>
      <c r="AK131" s="103"/>
      <c r="AL131" s="103"/>
      <c r="AM131" s="103"/>
      <c r="AN131" s="103"/>
      <c r="AO131" s="103"/>
      <c r="AP131" s="103"/>
      <c r="AQ131" s="103"/>
      <c r="AR131" s="103"/>
      <c r="AS131" s="103"/>
      <c r="AT131" s="103"/>
    </row>
    <row r="132" spans="2:46" ht="20.100000000000001" hidden="1" customHeight="1">
      <c r="B132" s="102"/>
      <c r="C132" s="102"/>
      <c r="D132" s="103"/>
      <c r="E132" s="103"/>
      <c r="F132" s="103"/>
      <c r="G132" s="103"/>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3"/>
      <c r="AI132" s="103"/>
      <c r="AJ132" s="103"/>
      <c r="AK132" s="103"/>
      <c r="AL132" s="103"/>
      <c r="AM132" s="103"/>
      <c r="AN132" s="103"/>
      <c r="AO132" s="103"/>
      <c r="AP132" s="103"/>
      <c r="AQ132" s="103"/>
      <c r="AR132" s="103"/>
      <c r="AS132" s="103"/>
      <c r="AT132" s="103"/>
    </row>
    <row r="133" spans="2:46" ht="20.100000000000001" hidden="1" customHeight="1">
      <c r="B133" s="102"/>
      <c r="C133" s="102"/>
      <c r="D133" s="103"/>
      <c r="E133" s="103"/>
      <c r="F133" s="103"/>
      <c r="G133" s="103"/>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3"/>
      <c r="AI133" s="103"/>
      <c r="AJ133" s="103"/>
      <c r="AK133" s="103"/>
      <c r="AL133" s="103"/>
      <c r="AM133" s="103"/>
      <c r="AN133" s="103"/>
      <c r="AO133" s="103"/>
      <c r="AP133" s="103"/>
      <c r="AQ133" s="103"/>
      <c r="AR133" s="103"/>
      <c r="AS133" s="103"/>
      <c r="AT133" s="103"/>
    </row>
    <row r="134" spans="2:46" ht="20.100000000000001" hidden="1" customHeight="1">
      <c r="B134" s="102"/>
      <c r="C134" s="102"/>
      <c r="D134" s="103"/>
      <c r="E134" s="103"/>
      <c r="F134" s="103"/>
      <c r="G134" s="103"/>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3"/>
      <c r="AI134" s="103"/>
      <c r="AJ134" s="103"/>
      <c r="AK134" s="103"/>
      <c r="AL134" s="103"/>
      <c r="AM134" s="103"/>
      <c r="AN134" s="103"/>
      <c r="AO134" s="103"/>
      <c r="AP134" s="103"/>
      <c r="AQ134" s="103"/>
      <c r="AR134" s="103"/>
      <c r="AS134" s="103"/>
      <c r="AT134" s="103"/>
    </row>
    <row r="135" spans="2:46" ht="20.100000000000001" hidden="1" customHeight="1">
      <c r="B135" s="102"/>
      <c r="C135" s="102"/>
      <c r="D135" s="103"/>
      <c r="E135" s="103"/>
      <c r="F135" s="103"/>
      <c r="G135" s="103"/>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3"/>
      <c r="AI135" s="103"/>
      <c r="AJ135" s="103"/>
      <c r="AK135" s="103"/>
      <c r="AL135" s="103"/>
      <c r="AM135" s="103"/>
      <c r="AN135" s="103"/>
      <c r="AO135" s="103"/>
      <c r="AP135" s="103"/>
      <c r="AQ135" s="103"/>
      <c r="AR135" s="103"/>
      <c r="AS135" s="103"/>
      <c r="AT135" s="103"/>
    </row>
    <row r="136" spans="2:46" ht="20.100000000000001" hidden="1" customHeight="1">
      <c r="B136" s="102"/>
      <c r="C136" s="102"/>
      <c r="D136" s="103"/>
      <c r="E136" s="103"/>
      <c r="F136" s="103"/>
      <c r="G136" s="103"/>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3"/>
      <c r="AI136" s="103"/>
      <c r="AJ136" s="103"/>
      <c r="AK136" s="103"/>
      <c r="AL136" s="103"/>
      <c r="AM136" s="103"/>
      <c r="AN136" s="103"/>
      <c r="AO136" s="103"/>
      <c r="AP136" s="103"/>
      <c r="AQ136" s="103"/>
      <c r="AR136" s="103"/>
      <c r="AS136" s="103"/>
      <c r="AT136" s="103"/>
    </row>
    <row r="137" spans="2:46" ht="20.100000000000001" hidden="1" customHeight="1">
      <c r="B137" s="102"/>
      <c r="C137" s="102"/>
      <c r="D137" s="103"/>
      <c r="E137" s="103"/>
      <c r="F137" s="103"/>
      <c r="G137" s="103"/>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3"/>
      <c r="AI137" s="103"/>
      <c r="AJ137" s="103"/>
      <c r="AK137" s="103"/>
      <c r="AL137" s="103"/>
      <c r="AM137" s="103"/>
      <c r="AN137" s="103"/>
      <c r="AO137" s="103"/>
      <c r="AP137" s="103"/>
      <c r="AQ137" s="103"/>
      <c r="AR137" s="103"/>
      <c r="AS137" s="103"/>
      <c r="AT137" s="103"/>
    </row>
    <row r="138" spans="2:46" ht="20.100000000000001" hidden="1" customHeight="1">
      <c r="B138" s="102"/>
      <c r="C138" s="102"/>
      <c r="D138" s="103"/>
      <c r="E138" s="103"/>
      <c r="F138" s="103"/>
      <c r="G138" s="103"/>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3"/>
      <c r="AI138" s="103"/>
      <c r="AJ138" s="103"/>
      <c r="AK138" s="103"/>
      <c r="AL138" s="103"/>
      <c r="AM138" s="103"/>
      <c r="AN138" s="103"/>
      <c r="AO138" s="103"/>
      <c r="AP138" s="103"/>
      <c r="AQ138" s="103"/>
      <c r="AR138" s="103"/>
      <c r="AS138" s="103"/>
      <c r="AT138" s="103"/>
    </row>
    <row r="139" spans="2:46" ht="20.100000000000001" hidden="1" customHeight="1">
      <c r="B139" s="102"/>
      <c r="C139" s="102"/>
      <c r="D139" s="103"/>
      <c r="E139" s="103"/>
      <c r="F139" s="103"/>
      <c r="G139" s="103"/>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3"/>
      <c r="AI139" s="103"/>
      <c r="AJ139" s="103"/>
      <c r="AK139" s="103"/>
      <c r="AL139" s="103"/>
      <c r="AM139" s="103"/>
      <c r="AN139" s="103"/>
      <c r="AO139" s="103"/>
      <c r="AP139" s="103"/>
      <c r="AQ139" s="103"/>
      <c r="AR139" s="103"/>
      <c r="AS139" s="103"/>
      <c r="AT139" s="103"/>
    </row>
    <row r="140" spans="2:46" ht="20.100000000000001" hidden="1" customHeight="1">
      <c r="B140" s="102"/>
      <c r="C140" s="102"/>
      <c r="D140" s="103"/>
      <c r="E140" s="103"/>
      <c r="F140" s="103"/>
      <c r="G140" s="103"/>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3"/>
      <c r="AI140" s="103"/>
      <c r="AJ140" s="103"/>
      <c r="AK140" s="103"/>
      <c r="AL140" s="103"/>
      <c r="AM140" s="103"/>
      <c r="AN140" s="103"/>
      <c r="AO140" s="103"/>
      <c r="AP140" s="103"/>
      <c r="AQ140" s="103"/>
      <c r="AR140" s="103"/>
      <c r="AS140" s="103"/>
      <c r="AT140" s="103"/>
    </row>
    <row r="141" spans="2:46" ht="20.100000000000001" hidden="1" customHeight="1">
      <c r="B141" s="102"/>
      <c r="C141" s="102"/>
      <c r="D141" s="103"/>
      <c r="E141" s="103"/>
      <c r="F141" s="103"/>
      <c r="G141" s="103"/>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3"/>
      <c r="AI141" s="103"/>
      <c r="AJ141" s="103"/>
      <c r="AK141" s="103"/>
      <c r="AL141" s="103"/>
      <c r="AM141" s="103"/>
      <c r="AN141" s="103"/>
      <c r="AO141" s="103"/>
      <c r="AP141" s="103"/>
      <c r="AQ141" s="103"/>
      <c r="AR141" s="103"/>
      <c r="AS141" s="103"/>
      <c r="AT141" s="103"/>
    </row>
    <row r="142" spans="2:46" ht="20.100000000000001" hidden="1" customHeight="1">
      <c r="B142" s="102"/>
      <c r="C142" s="102"/>
      <c r="D142" s="103"/>
      <c r="E142" s="103"/>
      <c r="F142" s="103"/>
      <c r="G142" s="103"/>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3"/>
      <c r="AI142" s="103"/>
      <c r="AJ142" s="103"/>
      <c r="AK142" s="103"/>
      <c r="AL142" s="103"/>
      <c r="AM142" s="103"/>
      <c r="AN142" s="103"/>
      <c r="AO142" s="103"/>
      <c r="AP142" s="103"/>
      <c r="AQ142" s="103"/>
      <c r="AR142" s="103"/>
      <c r="AS142" s="103"/>
      <c r="AT142" s="103"/>
    </row>
    <row r="143" spans="2:46" ht="20.100000000000001" hidden="1" customHeight="1">
      <c r="B143" s="102"/>
      <c r="C143" s="102"/>
      <c r="D143" s="103"/>
      <c r="E143" s="103"/>
      <c r="F143" s="103"/>
      <c r="G143" s="103"/>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3"/>
      <c r="AI143" s="103"/>
      <c r="AJ143" s="103"/>
      <c r="AK143" s="103"/>
      <c r="AL143" s="103"/>
      <c r="AM143" s="103"/>
      <c r="AN143" s="103"/>
      <c r="AO143" s="103"/>
      <c r="AP143" s="103"/>
      <c r="AQ143" s="103"/>
      <c r="AR143" s="103"/>
      <c r="AS143" s="103"/>
      <c r="AT143" s="103"/>
    </row>
    <row r="144" spans="2:46" ht="20.100000000000001" hidden="1" customHeight="1">
      <c r="B144" s="102"/>
      <c r="C144" s="102"/>
      <c r="D144" s="103"/>
      <c r="E144" s="103"/>
      <c r="F144" s="103"/>
      <c r="G144" s="103"/>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3"/>
      <c r="AI144" s="103"/>
      <c r="AJ144" s="103"/>
      <c r="AK144" s="103"/>
      <c r="AL144" s="103"/>
      <c r="AM144" s="103"/>
      <c r="AN144" s="103"/>
      <c r="AO144" s="103"/>
      <c r="AP144" s="103"/>
      <c r="AQ144" s="103"/>
      <c r="AR144" s="103"/>
      <c r="AS144" s="103"/>
      <c r="AT144" s="103"/>
    </row>
    <row r="145" spans="2:46" ht="20.100000000000001" hidden="1" customHeight="1">
      <c r="B145" s="102"/>
      <c r="C145" s="102"/>
      <c r="D145" s="103"/>
      <c r="E145" s="103"/>
      <c r="F145" s="103"/>
      <c r="G145" s="103"/>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3"/>
      <c r="AI145" s="103"/>
      <c r="AJ145" s="103"/>
      <c r="AK145" s="103"/>
      <c r="AL145" s="103"/>
      <c r="AM145" s="103"/>
      <c r="AN145" s="103"/>
      <c r="AO145" s="103"/>
      <c r="AP145" s="103"/>
      <c r="AQ145" s="103"/>
      <c r="AR145" s="103"/>
      <c r="AS145" s="103"/>
      <c r="AT145" s="103"/>
    </row>
    <row r="146" spans="2:46" ht="20.100000000000001" hidden="1" customHeight="1">
      <c r="B146" s="102"/>
      <c r="C146" s="102"/>
      <c r="D146" s="103"/>
      <c r="E146" s="103"/>
      <c r="F146" s="103"/>
      <c r="G146" s="103"/>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3"/>
      <c r="AI146" s="103"/>
      <c r="AJ146" s="103"/>
      <c r="AK146" s="103"/>
      <c r="AL146" s="103"/>
      <c r="AM146" s="103"/>
      <c r="AN146" s="103"/>
      <c r="AO146" s="103"/>
      <c r="AP146" s="103"/>
      <c r="AQ146" s="103"/>
      <c r="AR146" s="103"/>
      <c r="AS146" s="103"/>
      <c r="AT146" s="103"/>
    </row>
    <row r="147" spans="2:46" ht="20.100000000000001" hidden="1" customHeight="1">
      <c r="B147" s="102"/>
      <c r="C147" s="102"/>
      <c r="D147" s="103"/>
      <c r="E147" s="103"/>
      <c r="F147" s="103"/>
      <c r="G147" s="103"/>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3"/>
      <c r="AI147" s="103"/>
      <c r="AJ147" s="103"/>
      <c r="AK147" s="103"/>
      <c r="AL147" s="103"/>
      <c r="AM147" s="103"/>
      <c r="AN147" s="103"/>
      <c r="AO147" s="103"/>
      <c r="AP147" s="103"/>
      <c r="AQ147" s="103"/>
      <c r="AR147" s="103"/>
      <c r="AS147" s="103"/>
      <c r="AT147" s="103"/>
    </row>
    <row r="148" spans="2:46" ht="20.100000000000001" hidden="1" customHeight="1">
      <c r="B148" s="102"/>
      <c r="C148" s="102"/>
      <c r="D148" s="103"/>
      <c r="E148" s="103"/>
      <c r="F148" s="103"/>
      <c r="G148" s="103"/>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3"/>
      <c r="AI148" s="103"/>
      <c r="AJ148" s="103"/>
      <c r="AK148" s="103"/>
      <c r="AL148" s="103"/>
      <c r="AM148" s="103"/>
      <c r="AN148" s="103"/>
      <c r="AO148" s="103"/>
      <c r="AP148" s="103"/>
      <c r="AQ148" s="103"/>
      <c r="AR148" s="103"/>
      <c r="AS148" s="103"/>
      <c r="AT148" s="103"/>
    </row>
    <row r="149" spans="2:46" ht="20.100000000000001" hidden="1" customHeight="1">
      <c r="B149" s="102"/>
      <c r="C149" s="102"/>
      <c r="D149" s="103"/>
      <c r="E149" s="103"/>
      <c r="F149" s="103"/>
      <c r="G149" s="103"/>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3"/>
      <c r="AI149" s="103"/>
      <c r="AJ149" s="103"/>
      <c r="AK149" s="103"/>
      <c r="AL149" s="103"/>
      <c r="AM149" s="103"/>
      <c r="AN149" s="103"/>
      <c r="AO149" s="103"/>
      <c r="AP149" s="103"/>
      <c r="AQ149" s="103"/>
      <c r="AR149" s="103"/>
      <c r="AS149" s="103"/>
      <c r="AT149" s="103"/>
    </row>
    <row r="150" spans="2:46" ht="20.100000000000001" hidden="1" customHeight="1">
      <c r="B150" s="102"/>
      <c r="C150" s="102"/>
      <c r="D150" s="103"/>
      <c r="E150" s="103"/>
      <c r="F150" s="103"/>
      <c r="G150" s="103"/>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3"/>
      <c r="AI150" s="103"/>
      <c r="AJ150" s="103"/>
      <c r="AK150" s="103"/>
      <c r="AL150" s="103"/>
      <c r="AM150" s="103"/>
      <c r="AN150" s="103"/>
      <c r="AO150" s="103"/>
      <c r="AP150" s="103"/>
      <c r="AQ150" s="103"/>
      <c r="AR150" s="103"/>
      <c r="AS150" s="103"/>
      <c r="AT150" s="103"/>
    </row>
    <row r="151" spans="2:46" ht="20.100000000000001" hidden="1" customHeight="1">
      <c r="B151" s="102"/>
      <c r="C151" s="102"/>
      <c r="D151" s="103"/>
      <c r="E151" s="103"/>
      <c r="F151" s="103"/>
      <c r="G151" s="103"/>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3"/>
      <c r="AI151" s="103"/>
      <c r="AJ151" s="103"/>
      <c r="AK151" s="103"/>
      <c r="AL151" s="103"/>
      <c r="AM151" s="103"/>
      <c r="AN151" s="103"/>
      <c r="AO151" s="103"/>
      <c r="AP151" s="103"/>
      <c r="AQ151" s="103"/>
      <c r="AR151" s="103"/>
      <c r="AS151" s="103"/>
      <c r="AT151" s="103"/>
    </row>
    <row r="152" spans="2:46" ht="20.100000000000001" hidden="1" customHeight="1">
      <c r="B152" s="102"/>
      <c r="C152" s="102"/>
      <c r="D152" s="103"/>
      <c r="E152" s="103"/>
      <c r="F152" s="103"/>
      <c r="G152" s="103"/>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3"/>
      <c r="AI152" s="103"/>
      <c r="AJ152" s="103"/>
      <c r="AK152" s="103"/>
      <c r="AL152" s="103"/>
      <c r="AM152" s="103"/>
      <c r="AN152" s="103"/>
      <c r="AO152" s="103"/>
      <c r="AP152" s="103"/>
      <c r="AQ152" s="103"/>
      <c r="AR152" s="103"/>
      <c r="AS152" s="103"/>
      <c r="AT152" s="103"/>
    </row>
    <row r="153" spans="2:46" ht="20.100000000000001" hidden="1" customHeight="1">
      <c r="B153" s="102"/>
      <c r="C153" s="102"/>
      <c r="D153" s="103"/>
      <c r="E153" s="103"/>
      <c r="F153" s="103"/>
      <c r="G153" s="103"/>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3"/>
      <c r="AI153" s="103"/>
      <c r="AJ153" s="103"/>
      <c r="AK153" s="103"/>
      <c r="AL153" s="103"/>
      <c r="AM153" s="103"/>
      <c r="AN153" s="103"/>
      <c r="AO153" s="103"/>
      <c r="AP153" s="103"/>
      <c r="AQ153" s="103"/>
      <c r="AR153" s="103"/>
      <c r="AS153" s="103"/>
      <c r="AT153" s="103"/>
    </row>
    <row r="154" spans="2:46" ht="20.100000000000001" hidden="1" customHeight="1">
      <c r="B154" s="102"/>
      <c r="C154" s="102"/>
      <c r="D154" s="103"/>
      <c r="E154" s="103"/>
      <c r="F154" s="103"/>
      <c r="G154" s="103"/>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3"/>
      <c r="AI154" s="103"/>
      <c r="AJ154" s="103"/>
      <c r="AK154" s="103"/>
      <c r="AL154" s="103"/>
      <c r="AM154" s="103"/>
      <c r="AN154" s="103"/>
      <c r="AO154" s="103"/>
      <c r="AP154" s="103"/>
      <c r="AQ154" s="103"/>
      <c r="AR154" s="103"/>
      <c r="AS154" s="103"/>
      <c r="AT154" s="103"/>
    </row>
    <row r="155" spans="2:46" ht="20.100000000000001" hidden="1" customHeight="1">
      <c r="B155" s="102"/>
      <c r="C155" s="102"/>
      <c r="D155" s="103"/>
      <c r="E155" s="103"/>
      <c r="F155" s="103"/>
      <c r="G155" s="103"/>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3"/>
      <c r="AI155" s="103"/>
      <c r="AJ155" s="103"/>
      <c r="AK155" s="103"/>
      <c r="AL155" s="103"/>
      <c r="AM155" s="103"/>
      <c r="AN155" s="103"/>
      <c r="AO155" s="103"/>
      <c r="AP155" s="103"/>
      <c r="AQ155" s="103"/>
      <c r="AR155" s="103"/>
      <c r="AS155" s="103"/>
      <c r="AT155" s="103"/>
    </row>
    <row r="156" spans="2:46" ht="20.100000000000001" hidden="1" customHeight="1">
      <c r="B156" s="102"/>
      <c r="C156" s="102"/>
      <c r="D156" s="103"/>
      <c r="E156" s="103"/>
      <c r="F156" s="103"/>
      <c r="G156" s="103"/>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3"/>
      <c r="AI156" s="103"/>
      <c r="AJ156" s="103"/>
      <c r="AK156" s="103"/>
      <c r="AL156" s="103"/>
      <c r="AM156" s="103"/>
      <c r="AN156" s="103"/>
      <c r="AO156" s="103"/>
      <c r="AP156" s="103"/>
      <c r="AQ156" s="103"/>
      <c r="AR156" s="103"/>
      <c r="AS156" s="103"/>
      <c r="AT156" s="103"/>
    </row>
    <row r="157" spans="2:46" ht="20.100000000000001" hidden="1" customHeight="1">
      <c r="B157" s="102"/>
      <c r="C157" s="102"/>
      <c r="D157" s="103"/>
      <c r="E157" s="103"/>
      <c r="F157" s="103"/>
      <c r="G157" s="103"/>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3"/>
      <c r="AI157" s="103"/>
      <c r="AJ157" s="103"/>
      <c r="AK157" s="103"/>
      <c r="AL157" s="103"/>
      <c r="AM157" s="103"/>
      <c r="AN157" s="103"/>
      <c r="AO157" s="103"/>
      <c r="AP157" s="103"/>
      <c r="AQ157" s="103"/>
      <c r="AR157" s="103"/>
      <c r="AS157" s="103"/>
      <c r="AT157" s="103"/>
    </row>
    <row r="158" spans="2:46" ht="20.100000000000001" hidden="1" customHeight="1">
      <c r="B158" s="102"/>
      <c r="C158" s="102"/>
      <c r="D158" s="103"/>
      <c r="E158" s="103"/>
      <c r="F158" s="103"/>
      <c r="G158" s="103"/>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3"/>
      <c r="AI158" s="103"/>
      <c r="AJ158" s="103"/>
      <c r="AK158" s="103"/>
      <c r="AL158" s="103"/>
      <c r="AM158" s="103"/>
      <c r="AN158" s="103"/>
      <c r="AO158" s="103"/>
      <c r="AP158" s="103"/>
      <c r="AQ158" s="103"/>
      <c r="AR158" s="103"/>
      <c r="AS158" s="103"/>
      <c r="AT158" s="103"/>
    </row>
    <row r="159" spans="2:46" ht="20.100000000000001" hidden="1" customHeight="1">
      <c r="B159" s="102"/>
      <c r="C159" s="102"/>
      <c r="D159" s="103"/>
      <c r="E159" s="103"/>
      <c r="F159" s="103"/>
      <c r="G159" s="103"/>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3"/>
      <c r="AI159" s="103"/>
      <c r="AJ159" s="103"/>
      <c r="AK159" s="103"/>
      <c r="AL159" s="103"/>
      <c r="AM159" s="103"/>
      <c r="AN159" s="103"/>
      <c r="AO159" s="103"/>
      <c r="AP159" s="103"/>
      <c r="AQ159" s="103"/>
      <c r="AR159" s="103"/>
      <c r="AS159" s="103"/>
      <c r="AT159" s="103"/>
    </row>
    <row r="160" spans="2:46" ht="20.100000000000001" hidden="1" customHeight="1">
      <c r="B160" s="102"/>
      <c r="C160" s="102"/>
      <c r="D160" s="103"/>
      <c r="E160" s="103"/>
      <c r="F160" s="103"/>
      <c r="G160" s="103"/>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3"/>
      <c r="AI160" s="103"/>
      <c r="AJ160" s="103"/>
      <c r="AK160" s="103"/>
      <c r="AL160" s="103"/>
      <c r="AM160" s="103"/>
      <c r="AN160" s="103"/>
      <c r="AO160" s="103"/>
      <c r="AP160" s="103"/>
      <c r="AQ160" s="103"/>
      <c r="AR160" s="103"/>
      <c r="AS160" s="103"/>
      <c r="AT160" s="103"/>
    </row>
    <row r="161" spans="2:46" ht="20.100000000000001" hidden="1" customHeight="1">
      <c r="B161" s="102"/>
      <c r="C161" s="102"/>
      <c r="D161" s="103"/>
      <c r="E161" s="103"/>
      <c r="F161" s="103"/>
      <c r="G161" s="103"/>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3"/>
      <c r="AI161" s="103"/>
      <c r="AJ161" s="103"/>
      <c r="AK161" s="103"/>
      <c r="AL161" s="103"/>
      <c r="AM161" s="103"/>
      <c r="AN161" s="103"/>
      <c r="AO161" s="103"/>
      <c r="AP161" s="103"/>
      <c r="AQ161" s="103"/>
      <c r="AR161" s="103"/>
      <c r="AS161" s="103"/>
      <c r="AT161" s="103"/>
    </row>
    <row r="162" spans="2:46" ht="20.100000000000001" hidden="1" customHeight="1">
      <c r="B162" s="102"/>
      <c r="C162" s="102"/>
      <c r="D162" s="103"/>
      <c r="E162" s="103"/>
      <c r="F162" s="103"/>
      <c r="G162" s="103"/>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3"/>
      <c r="AI162" s="103"/>
      <c r="AJ162" s="103"/>
      <c r="AK162" s="103"/>
      <c r="AL162" s="103"/>
      <c r="AM162" s="103"/>
      <c r="AN162" s="103"/>
      <c r="AO162" s="103"/>
      <c r="AP162" s="103"/>
      <c r="AQ162" s="103"/>
      <c r="AR162" s="103"/>
      <c r="AS162" s="103"/>
      <c r="AT162" s="103"/>
    </row>
    <row r="163" spans="2:46" ht="20.100000000000001" hidden="1" customHeight="1">
      <c r="B163" s="102"/>
      <c r="C163" s="102"/>
      <c r="D163" s="103"/>
      <c r="E163" s="103"/>
      <c r="F163" s="103"/>
      <c r="G163" s="103"/>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3"/>
      <c r="AI163" s="103"/>
      <c r="AJ163" s="103"/>
      <c r="AK163" s="103"/>
      <c r="AL163" s="103"/>
      <c r="AM163" s="103"/>
      <c r="AN163" s="103"/>
      <c r="AO163" s="103"/>
      <c r="AP163" s="103"/>
      <c r="AQ163" s="103"/>
      <c r="AR163" s="103"/>
      <c r="AS163" s="103"/>
      <c r="AT163" s="103"/>
    </row>
    <row r="164" spans="2:46" ht="20.100000000000001" hidden="1" customHeight="1">
      <c r="B164" s="102"/>
      <c r="C164" s="102"/>
      <c r="D164" s="103"/>
      <c r="E164" s="103"/>
      <c r="F164" s="103"/>
      <c r="G164" s="103"/>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3"/>
      <c r="AI164" s="103"/>
      <c r="AJ164" s="103"/>
      <c r="AK164" s="103"/>
      <c r="AL164" s="103"/>
      <c r="AM164" s="103"/>
      <c r="AN164" s="103"/>
      <c r="AO164" s="103"/>
      <c r="AP164" s="103"/>
      <c r="AQ164" s="103"/>
      <c r="AR164" s="103"/>
      <c r="AS164" s="103"/>
      <c r="AT164" s="103"/>
    </row>
    <row r="165" spans="2:46" ht="20.100000000000001" hidden="1" customHeight="1">
      <c r="B165" s="102"/>
      <c r="C165" s="102"/>
      <c r="D165" s="103"/>
      <c r="E165" s="103"/>
      <c r="F165" s="103"/>
      <c r="G165" s="103"/>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3"/>
      <c r="AI165" s="103"/>
      <c r="AJ165" s="103"/>
      <c r="AK165" s="103"/>
      <c r="AL165" s="103"/>
      <c r="AM165" s="103"/>
      <c r="AN165" s="103"/>
      <c r="AO165" s="103"/>
      <c r="AP165" s="103"/>
      <c r="AQ165" s="103"/>
      <c r="AR165" s="103"/>
      <c r="AS165" s="103"/>
      <c r="AT165" s="103"/>
    </row>
  </sheetData>
  <sheetProtection password="C0C9" sheet="1" objects="1" scenarios="1" selectLockedCells="1"/>
  <mergeCells count="631">
    <mergeCell ref="P1:W1"/>
    <mergeCell ref="S43:AF43"/>
    <mergeCell ref="S44:AF44"/>
    <mergeCell ref="S45:AF45"/>
    <mergeCell ref="S47:AF47"/>
    <mergeCell ref="S46:AF46"/>
    <mergeCell ref="H41:R41"/>
    <mergeCell ref="H42:R42"/>
    <mergeCell ref="H43:R43"/>
    <mergeCell ref="C10:I10"/>
    <mergeCell ref="C11:I11"/>
    <mergeCell ref="C12:I12"/>
    <mergeCell ref="Y12:AK12"/>
    <mergeCell ref="Y9:AK9"/>
    <mergeCell ref="Y10:AK10"/>
    <mergeCell ref="Y11:AK11"/>
    <mergeCell ref="Y8:AK8"/>
    <mergeCell ref="U8:X8"/>
    <mergeCell ref="U10:X10"/>
    <mergeCell ref="U11:X11"/>
    <mergeCell ref="U12:X12"/>
    <mergeCell ref="U9:X9"/>
    <mergeCell ref="AH39:AK39"/>
    <mergeCell ref="AH40:AK40"/>
    <mergeCell ref="S61:AF61"/>
    <mergeCell ref="S60:AF60"/>
    <mergeCell ref="S48:AF48"/>
    <mergeCell ref="S49:AF49"/>
    <mergeCell ref="S50:AF50"/>
    <mergeCell ref="S51:AF51"/>
    <mergeCell ref="S52:AF52"/>
    <mergeCell ref="S53:AF53"/>
    <mergeCell ref="S54:AF54"/>
    <mergeCell ref="S55:AF55"/>
    <mergeCell ref="S56:AF56"/>
    <mergeCell ref="S57:AF57"/>
    <mergeCell ref="S58:AF58"/>
    <mergeCell ref="S59:AF59"/>
    <mergeCell ref="S95:AF95"/>
    <mergeCell ref="S85:AF85"/>
    <mergeCell ref="S86:AF86"/>
    <mergeCell ref="S87:AF87"/>
    <mergeCell ref="S88:AF88"/>
    <mergeCell ref="S89:AF89"/>
    <mergeCell ref="S90:AF90"/>
    <mergeCell ref="S91:AF91"/>
    <mergeCell ref="S92:AF92"/>
    <mergeCell ref="S93:AF93"/>
    <mergeCell ref="H67:R67"/>
    <mergeCell ref="H68:R68"/>
    <mergeCell ref="AU2:BV2"/>
    <mergeCell ref="H60:R60"/>
    <mergeCell ref="H59:R59"/>
    <mergeCell ref="AL57:AN57"/>
    <mergeCell ref="AL58:AN58"/>
    <mergeCell ref="AH53:AK53"/>
    <mergeCell ref="AH54:AK54"/>
    <mergeCell ref="AH55:AK55"/>
    <mergeCell ref="AH56:AK56"/>
    <mergeCell ref="AH57:AK57"/>
    <mergeCell ref="AH58:AK58"/>
    <mergeCell ref="AH59:AK59"/>
    <mergeCell ref="AR56:AT56"/>
    <mergeCell ref="AO57:AQ57"/>
    <mergeCell ref="AR57:AT57"/>
    <mergeCell ref="AO58:AQ58"/>
    <mergeCell ref="AH41:AK41"/>
    <mergeCell ref="H26:R26"/>
    <mergeCell ref="H24:R25"/>
    <mergeCell ref="S24:AF25"/>
    <mergeCell ref="S26:AF26"/>
    <mergeCell ref="U4:AG4"/>
    <mergeCell ref="B51:C60"/>
    <mergeCell ref="P16:S16"/>
    <mergeCell ref="T16:W16"/>
    <mergeCell ref="H16:O16"/>
    <mergeCell ref="X16:AE16"/>
    <mergeCell ref="H17:O17"/>
    <mergeCell ref="H18:O18"/>
    <mergeCell ref="X17:AE17"/>
    <mergeCell ref="X18:AE18"/>
    <mergeCell ref="D52:E52"/>
    <mergeCell ref="D60:E60"/>
    <mergeCell ref="D54:E54"/>
    <mergeCell ref="D55:E55"/>
    <mergeCell ref="D56:E56"/>
    <mergeCell ref="H30:R30"/>
    <mergeCell ref="H31:R31"/>
    <mergeCell ref="S27:AF27"/>
    <mergeCell ref="S28:AF28"/>
    <mergeCell ref="S29:AF29"/>
    <mergeCell ref="S30:AF30"/>
    <mergeCell ref="S31:AF31"/>
    <mergeCell ref="H28:R28"/>
    <mergeCell ref="H29:R29"/>
    <mergeCell ref="H27:R27"/>
    <mergeCell ref="H95:R95"/>
    <mergeCell ref="H86:R86"/>
    <mergeCell ref="H87:R87"/>
    <mergeCell ref="H88:R88"/>
    <mergeCell ref="H89:R89"/>
    <mergeCell ref="H90:R90"/>
    <mergeCell ref="H91:R91"/>
    <mergeCell ref="H92:R92"/>
    <mergeCell ref="H93:R93"/>
    <mergeCell ref="H94:R94"/>
    <mergeCell ref="AO93:AQ93"/>
    <mergeCell ref="AR93:AT93"/>
    <mergeCell ref="AR69:AT69"/>
    <mergeCell ref="AL70:AN70"/>
    <mergeCell ref="AO70:AQ70"/>
    <mergeCell ref="AR70:AT70"/>
    <mergeCell ref="AL49:AN49"/>
    <mergeCell ref="AR71:AT71"/>
    <mergeCell ref="AR61:AT61"/>
    <mergeCell ref="AL62:AN62"/>
    <mergeCell ref="AO62:AQ62"/>
    <mergeCell ref="AR62:AT62"/>
    <mergeCell ref="AL63:AN63"/>
    <mergeCell ref="AO63:AQ63"/>
    <mergeCell ref="AR63:AT63"/>
    <mergeCell ref="AL64:AN64"/>
    <mergeCell ref="AO64:AQ64"/>
    <mergeCell ref="AO77:AQ77"/>
    <mergeCell ref="AR77:AT77"/>
    <mergeCell ref="AL78:AN78"/>
    <mergeCell ref="AO78:AQ78"/>
    <mergeCell ref="AR78:AT78"/>
    <mergeCell ref="AL83:AN83"/>
    <mergeCell ref="AO83:AQ83"/>
    <mergeCell ref="D57:E57"/>
    <mergeCell ref="D58:E58"/>
    <mergeCell ref="D59:E59"/>
    <mergeCell ref="H82:R82"/>
    <mergeCell ref="H83:R83"/>
    <mergeCell ref="H80:R80"/>
    <mergeCell ref="S68:AF68"/>
    <mergeCell ref="S69:AF69"/>
    <mergeCell ref="S70:AF70"/>
    <mergeCell ref="H79:R79"/>
    <mergeCell ref="H71:R71"/>
    <mergeCell ref="H72:R72"/>
    <mergeCell ref="H73:R73"/>
    <mergeCell ref="H74:R74"/>
    <mergeCell ref="H75:R75"/>
    <mergeCell ref="H76:R76"/>
    <mergeCell ref="H77:R77"/>
    <mergeCell ref="S72:AF72"/>
    <mergeCell ref="S73:AF73"/>
    <mergeCell ref="S74:AF74"/>
    <mergeCell ref="S75:AF75"/>
    <mergeCell ref="S76:AF76"/>
    <mergeCell ref="S77:AF77"/>
    <mergeCell ref="S78:AF78"/>
    <mergeCell ref="AO66:AQ66"/>
    <mergeCell ref="AR66:AT66"/>
    <mergeCell ref="B36:C45"/>
    <mergeCell ref="AH50:AK50"/>
    <mergeCell ref="AH47:AK47"/>
    <mergeCell ref="D48:E48"/>
    <mergeCell ref="AH48:AK48"/>
    <mergeCell ref="AH45:AK45"/>
    <mergeCell ref="D46:E46"/>
    <mergeCell ref="AH44:AK44"/>
    <mergeCell ref="D45:E45"/>
    <mergeCell ref="B46:C50"/>
    <mergeCell ref="H50:R50"/>
    <mergeCell ref="H46:R46"/>
    <mergeCell ref="H47:R47"/>
    <mergeCell ref="H48:R48"/>
    <mergeCell ref="AR60:AT60"/>
    <mergeCell ref="AL56:AN56"/>
    <mergeCell ref="S37:AF37"/>
    <mergeCell ref="S38:AF38"/>
    <mergeCell ref="S39:AF39"/>
    <mergeCell ref="S40:AF40"/>
    <mergeCell ref="S41:AF41"/>
    <mergeCell ref="S42:AF42"/>
    <mergeCell ref="AR42:AT42"/>
    <mergeCell ref="AL43:AN43"/>
    <mergeCell ref="AO43:AQ43"/>
    <mergeCell ref="AR43:AT43"/>
    <mergeCell ref="AO51:AQ51"/>
    <mergeCell ref="AR51:AT51"/>
    <mergeCell ref="AR64:AT64"/>
    <mergeCell ref="AL65:AN65"/>
    <mergeCell ref="AO65:AQ65"/>
    <mergeCell ref="AR65:AT65"/>
    <mergeCell ref="AL61:AN61"/>
    <mergeCell ref="AO61:AQ61"/>
    <mergeCell ref="AR58:AT58"/>
    <mergeCell ref="AL59:AN59"/>
    <mergeCell ref="AO59:AQ59"/>
    <mergeCell ref="AR59:AT59"/>
    <mergeCell ref="AR54:AT54"/>
    <mergeCell ref="AR52:AT52"/>
    <mergeCell ref="AL44:AN44"/>
    <mergeCell ref="AO46:AQ46"/>
    <mergeCell ref="AR46:AT46"/>
    <mergeCell ref="AL47:AN47"/>
    <mergeCell ref="AO47:AQ47"/>
    <mergeCell ref="AL48:AN48"/>
    <mergeCell ref="S79:AF79"/>
    <mergeCell ref="AL54:AN54"/>
    <mergeCell ref="S62:AF62"/>
    <mergeCell ref="S63:AF63"/>
    <mergeCell ref="S64:AF64"/>
    <mergeCell ref="S65:AF65"/>
    <mergeCell ref="S66:AF66"/>
    <mergeCell ref="S67:AF67"/>
    <mergeCell ref="B61:C70"/>
    <mergeCell ref="H69:R69"/>
    <mergeCell ref="H61:R61"/>
    <mergeCell ref="H62:R62"/>
    <mergeCell ref="H63:R63"/>
    <mergeCell ref="H64:R64"/>
    <mergeCell ref="H65:R65"/>
    <mergeCell ref="H66:R66"/>
    <mergeCell ref="H70:R70"/>
    <mergeCell ref="AH73:AK73"/>
    <mergeCell ref="AH72:AK72"/>
    <mergeCell ref="S71:AF71"/>
    <mergeCell ref="F69:G69"/>
    <mergeCell ref="F70:G70"/>
    <mergeCell ref="F71:G71"/>
    <mergeCell ref="F72:G72"/>
    <mergeCell ref="AH43:AK43"/>
    <mergeCell ref="AH42:AK42"/>
    <mergeCell ref="AH60:AK60"/>
    <mergeCell ref="D42:E42"/>
    <mergeCell ref="H49:R49"/>
    <mergeCell ref="H45:R45"/>
    <mergeCell ref="H51:R51"/>
    <mergeCell ref="H52:R52"/>
    <mergeCell ref="H53:R53"/>
    <mergeCell ref="H54:R54"/>
    <mergeCell ref="H55:R55"/>
    <mergeCell ref="H56:R56"/>
    <mergeCell ref="H57:R57"/>
    <mergeCell ref="H58:R58"/>
    <mergeCell ref="D53:E53"/>
    <mergeCell ref="F43:G43"/>
    <mergeCell ref="F44:G44"/>
    <mergeCell ref="F45:G45"/>
    <mergeCell ref="F46:G46"/>
    <mergeCell ref="F47:G47"/>
    <mergeCell ref="F48:G48"/>
    <mergeCell ref="F49:G49"/>
    <mergeCell ref="F50:G50"/>
    <mergeCell ref="F51:G51"/>
    <mergeCell ref="AR80:AT80"/>
    <mergeCell ref="AR82:AT82"/>
    <mergeCell ref="B86:C95"/>
    <mergeCell ref="AL95:AN95"/>
    <mergeCell ref="AL87:AN87"/>
    <mergeCell ref="AL77:AN77"/>
    <mergeCell ref="AL89:AN89"/>
    <mergeCell ref="B71:C80"/>
    <mergeCell ref="B81:C85"/>
    <mergeCell ref="AH95:AK95"/>
    <mergeCell ref="AH82:AK82"/>
    <mergeCell ref="AH83:AK83"/>
    <mergeCell ref="AH84:AK84"/>
    <mergeCell ref="AH85:AK85"/>
    <mergeCell ref="AH86:AK86"/>
    <mergeCell ref="AH87:AK87"/>
    <mergeCell ref="AH74:AK74"/>
    <mergeCell ref="AH75:AK75"/>
    <mergeCell ref="AH76:AK76"/>
    <mergeCell ref="AH77:AK77"/>
    <mergeCell ref="AH78:AK78"/>
    <mergeCell ref="AL79:AN79"/>
    <mergeCell ref="AL88:AN88"/>
    <mergeCell ref="AH88:AK88"/>
    <mergeCell ref="AR67:AT67"/>
    <mergeCell ref="AL68:AN68"/>
    <mergeCell ref="AH91:AK91"/>
    <mergeCell ref="AH93:AK93"/>
    <mergeCell ref="AH94:AK94"/>
    <mergeCell ref="AH81:AK81"/>
    <mergeCell ref="AL81:AN81"/>
    <mergeCell ref="AH79:AK79"/>
    <mergeCell ref="AH80:AK80"/>
    <mergeCell ref="AO81:AQ81"/>
    <mergeCell ref="AR81:AT81"/>
    <mergeCell ref="AR89:AT89"/>
    <mergeCell ref="AL82:AN82"/>
    <mergeCell ref="AO82:AQ82"/>
    <mergeCell ref="AL84:AN84"/>
    <mergeCell ref="AO84:AQ84"/>
    <mergeCell ref="AR84:AT84"/>
    <mergeCell ref="AL85:AN85"/>
    <mergeCell ref="AO87:AQ87"/>
    <mergeCell ref="AR87:AT87"/>
    <mergeCell ref="AO79:AQ79"/>
    <mergeCell ref="AR79:AT79"/>
    <mergeCell ref="AL80:AN80"/>
    <mergeCell ref="AO80:AQ80"/>
    <mergeCell ref="AR83:AT83"/>
    <mergeCell ref="AO95:AQ95"/>
    <mergeCell ref="AR95:AT95"/>
    <mergeCell ref="AL90:AN90"/>
    <mergeCell ref="AO90:AQ90"/>
    <mergeCell ref="AR90:AT90"/>
    <mergeCell ref="AL91:AN91"/>
    <mergeCell ref="AO91:AQ91"/>
    <mergeCell ref="AR91:AT91"/>
    <mergeCell ref="AL92:AN92"/>
    <mergeCell ref="AO92:AQ92"/>
    <mergeCell ref="AR92:AT92"/>
    <mergeCell ref="AL93:AN93"/>
    <mergeCell ref="AO89:AQ89"/>
    <mergeCell ref="AO88:AQ88"/>
    <mergeCell ref="AR88:AT88"/>
    <mergeCell ref="AL94:AN94"/>
    <mergeCell ref="AO94:AQ94"/>
    <mergeCell ref="AR94:AT94"/>
    <mergeCell ref="AO85:AQ85"/>
    <mergeCell ref="AR85:AT85"/>
    <mergeCell ref="AL86:AN86"/>
    <mergeCell ref="AO86:AQ86"/>
    <mergeCell ref="AR86:AT86"/>
    <mergeCell ref="AR68:AT68"/>
    <mergeCell ref="AL69:AN69"/>
    <mergeCell ref="AO69:AQ69"/>
    <mergeCell ref="AL76:AN76"/>
    <mergeCell ref="AO76:AQ76"/>
    <mergeCell ref="AR76:AT76"/>
    <mergeCell ref="AL74:AN74"/>
    <mergeCell ref="AO74:AQ74"/>
    <mergeCell ref="AR74:AT74"/>
    <mergeCell ref="AL75:AN75"/>
    <mergeCell ref="AO75:AQ75"/>
    <mergeCell ref="AR75:AT75"/>
    <mergeCell ref="AL72:AN72"/>
    <mergeCell ref="AR73:AT73"/>
    <mergeCell ref="AO72:AQ72"/>
    <mergeCell ref="AR72:AT72"/>
    <mergeCell ref="AL73:AN73"/>
    <mergeCell ref="AO73:AQ73"/>
    <mergeCell ref="AO48:AQ48"/>
    <mergeCell ref="AR48:AT48"/>
    <mergeCell ref="AO49:AQ49"/>
    <mergeCell ref="AR49:AT49"/>
    <mergeCell ref="AL46:AN46"/>
    <mergeCell ref="AR45:AT45"/>
    <mergeCell ref="AO44:AQ44"/>
    <mergeCell ref="AL45:AN45"/>
    <mergeCell ref="AO45:AQ45"/>
    <mergeCell ref="AR47:AT47"/>
    <mergeCell ref="AL50:AN50"/>
    <mergeCell ref="AL42:AN42"/>
    <mergeCell ref="AL35:AN35"/>
    <mergeCell ref="AO35:AQ35"/>
    <mergeCell ref="AR35:AT35"/>
    <mergeCell ref="AL55:AN55"/>
    <mergeCell ref="AO55:AQ55"/>
    <mergeCell ref="AR55:AT55"/>
    <mergeCell ref="AL51:AN51"/>
    <mergeCell ref="AO50:AQ50"/>
    <mergeCell ref="AR50:AT50"/>
    <mergeCell ref="AR53:AT53"/>
    <mergeCell ref="AL40:AN40"/>
    <mergeCell ref="AL38:AN38"/>
    <mergeCell ref="AO38:AQ38"/>
    <mergeCell ref="AR38:AT38"/>
    <mergeCell ref="AL39:AN39"/>
    <mergeCell ref="AO39:AQ39"/>
    <mergeCell ref="AR39:AT39"/>
    <mergeCell ref="AO40:AQ40"/>
    <mergeCell ref="AR40:AT40"/>
    <mergeCell ref="AR44:AT44"/>
    <mergeCell ref="AL41:AN41"/>
    <mergeCell ref="AO41:AQ41"/>
    <mergeCell ref="AR41:AT41"/>
    <mergeCell ref="AO42:AQ42"/>
    <mergeCell ref="AL34:AN34"/>
    <mergeCell ref="AR26:AT26"/>
    <mergeCell ref="AR27:AT27"/>
    <mergeCell ref="AR28:AT28"/>
    <mergeCell ref="AR29:AT29"/>
    <mergeCell ref="AO32:AQ32"/>
    <mergeCell ref="AL27:AN27"/>
    <mergeCell ref="AO27:AQ27"/>
    <mergeCell ref="AL28:AN28"/>
    <mergeCell ref="AO28:AQ28"/>
    <mergeCell ref="AL29:AN29"/>
    <mergeCell ref="AO29:AQ29"/>
    <mergeCell ref="AL30:AN30"/>
    <mergeCell ref="AO30:AQ30"/>
    <mergeCell ref="AL31:AN31"/>
    <mergeCell ref="AR30:AT30"/>
    <mergeCell ref="AR31:AT31"/>
    <mergeCell ref="AR32:AT32"/>
    <mergeCell ref="AO31:AQ31"/>
    <mergeCell ref="AO33:AQ33"/>
    <mergeCell ref="AR33:AT33"/>
    <mergeCell ref="AO34:AQ34"/>
    <mergeCell ref="AR34:AT34"/>
    <mergeCell ref="AL53:AN53"/>
    <mergeCell ref="AO53:AQ53"/>
    <mergeCell ref="AO54:AQ54"/>
    <mergeCell ref="AH70:AK70"/>
    <mergeCell ref="AH71:AK71"/>
    <mergeCell ref="AH46:AK46"/>
    <mergeCell ref="AL71:AN71"/>
    <mergeCell ref="AH61:AK61"/>
    <mergeCell ref="AH68:AK68"/>
    <mergeCell ref="AH69:AK69"/>
    <mergeCell ref="AO56:AQ56"/>
    <mergeCell ref="AO71:AQ71"/>
    <mergeCell ref="AH51:AK51"/>
    <mergeCell ref="AH52:AK52"/>
    <mergeCell ref="AH49:AK49"/>
    <mergeCell ref="AL67:AN67"/>
    <mergeCell ref="AL66:AN66"/>
    <mergeCell ref="AH67:AK67"/>
    <mergeCell ref="AO60:AQ60"/>
    <mergeCell ref="AL52:AN52"/>
    <mergeCell ref="AO52:AQ52"/>
    <mergeCell ref="AO68:AQ68"/>
    <mergeCell ref="AL60:AN60"/>
    <mergeCell ref="AH89:AK89"/>
    <mergeCell ref="AH90:AK90"/>
    <mergeCell ref="H78:R78"/>
    <mergeCell ref="F73:G73"/>
    <mergeCell ref="AO67:AQ67"/>
    <mergeCell ref="AO24:AQ25"/>
    <mergeCell ref="AR24:AT25"/>
    <mergeCell ref="AL24:AN25"/>
    <mergeCell ref="AH92:AK92"/>
    <mergeCell ref="AH62:AK62"/>
    <mergeCell ref="AH63:AK63"/>
    <mergeCell ref="AH64:AK64"/>
    <mergeCell ref="AH65:AK65"/>
    <mergeCell ref="AH66:AK66"/>
    <mergeCell ref="AL36:AN36"/>
    <mergeCell ref="AO36:AQ36"/>
    <mergeCell ref="AR36:AT36"/>
    <mergeCell ref="AL37:AN37"/>
    <mergeCell ref="AO37:AQ37"/>
    <mergeCell ref="AR37:AT37"/>
    <mergeCell ref="AL32:AN32"/>
    <mergeCell ref="AL33:AN33"/>
    <mergeCell ref="AL26:AN26"/>
    <mergeCell ref="AO26:AQ26"/>
    <mergeCell ref="S80:AF80"/>
    <mergeCell ref="S81:AF81"/>
    <mergeCell ref="S82:AF82"/>
    <mergeCell ref="S83:AF83"/>
    <mergeCell ref="S84:AF84"/>
    <mergeCell ref="D94:E94"/>
    <mergeCell ref="D76:E76"/>
    <mergeCell ref="D77:E77"/>
    <mergeCell ref="D78:E78"/>
    <mergeCell ref="D93:E93"/>
    <mergeCell ref="D91:E91"/>
    <mergeCell ref="D92:E92"/>
    <mergeCell ref="D83:E83"/>
    <mergeCell ref="D84:E84"/>
    <mergeCell ref="D85:E85"/>
    <mergeCell ref="D86:E86"/>
    <mergeCell ref="D87:E87"/>
    <mergeCell ref="D88:E88"/>
    <mergeCell ref="S94:AF94"/>
    <mergeCell ref="H85:R85"/>
    <mergeCell ref="H84:R84"/>
    <mergeCell ref="H81:R81"/>
    <mergeCell ref="F92:G92"/>
    <mergeCell ref="F93:G93"/>
    <mergeCell ref="D95:E95"/>
    <mergeCell ref="D89:E89"/>
    <mergeCell ref="D90:E90"/>
    <mergeCell ref="D75:E75"/>
    <mergeCell ref="D61:E61"/>
    <mergeCell ref="D82:E82"/>
    <mergeCell ref="D79:E79"/>
    <mergeCell ref="D80:E80"/>
    <mergeCell ref="D81:E81"/>
    <mergeCell ref="D62:E62"/>
    <mergeCell ref="D63:E63"/>
    <mergeCell ref="D64:E64"/>
    <mergeCell ref="D65:E65"/>
    <mergeCell ref="D66:E66"/>
    <mergeCell ref="D67:E67"/>
    <mergeCell ref="D68:E68"/>
    <mergeCell ref="D69:E69"/>
    <mergeCell ref="D70:E70"/>
    <mergeCell ref="D71:E71"/>
    <mergeCell ref="D72:E72"/>
    <mergeCell ref="D73:E73"/>
    <mergeCell ref="D74:E74"/>
    <mergeCell ref="AH37:AK37"/>
    <mergeCell ref="D38:E38"/>
    <mergeCell ref="AH38:AK38"/>
    <mergeCell ref="D47:E47"/>
    <mergeCell ref="D49:E49"/>
    <mergeCell ref="D51:E51"/>
    <mergeCell ref="D37:E37"/>
    <mergeCell ref="D39:E39"/>
    <mergeCell ref="D41:E41"/>
    <mergeCell ref="D40:E40"/>
    <mergeCell ref="D44:E44"/>
    <mergeCell ref="D43:E43"/>
    <mergeCell ref="D50:E50"/>
    <mergeCell ref="H37:R37"/>
    <mergeCell ref="H38:R38"/>
    <mergeCell ref="H39:R39"/>
    <mergeCell ref="H40:R40"/>
    <mergeCell ref="H44:R44"/>
    <mergeCell ref="F37:G37"/>
    <mergeCell ref="F38:G38"/>
    <mergeCell ref="F39:G39"/>
    <mergeCell ref="F40:G40"/>
    <mergeCell ref="F41:G41"/>
    <mergeCell ref="F42:G42"/>
    <mergeCell ref="AH35:AK35"/>
    <mergeCell ref="D36:E36"/>
    <mergeCell ref="AH36:AK36"/>
    <mergeCell ref="AH33:AK33"/>
    <mergeCell ref="D34:E34"/>
    <mergeCell ref="D33:E33"/>
    <mergeCell ref="D35:E35"/>
    <mergeCell ref="H36:R36"/>
    <mergeCell ref="H35:R35"/>
    <mergeCell ref="H34:R34"/>
    <mergeCell ref="H33:R33"/>
    <mergeCell ref="S33:AF33"/>
    <mergeCell ref="S34:AF34"/>
    <mergeCell ref="S35:AF35"/>
    <mergeCell ref="S36:AF36"/>
    <mergeCell ref="F34:G34"/>
    <mergeCell ref="F35:G35"/>
    <mergeCell ref="F36:G36"/>
    <mergeCell ref="AH34:AK34"/>
    <mergeCell ref="F33:G33"/>
    <mergeCell ref="AH31:AK31"/>
    <mergeCell ref="D32:E32"/>
    <mergeCell ref="AH32:AK32"/>
    <mergeCell ref="AH29:AK29"/>
    <mergeCell ref="D30:E30"/>
    <mergeCell ref="AH30:AK30"/>
    <mergeCell ref="D29:E29"/>
    <mergeCell ref="D31:E31"/>
    <mergeCell ref="H32:R32"/>
    <mergeCell ref="S32:AF32"/>
    <mergeCell ref="D28:E28"/>
    <mergeCell ref="AH28:AK28"/>
    <mergeCell ref="J7:S7"/>
    <mergeCell ref="AH24:AK25"/>
    <mergeCell ref="D26:E26"/>
    <mergeCell ref="B24:C25"/>
    <mergeCell ref="D24:E25"/>
    <mergeCell ref="T17:W17"/>
    <mergeCell ref="P17:S17"/>
    <mergeCell ref="AH16:AK16"/>
    <mergeCell ref="AH26:AK26"/>
    <mergeCell ref="D27:E27"/>
    <mergeCell ref="AH27:AK27"/>
    <mergeCell ref="B26:C35"/>
    <mergeCell ref="AH17:AK17"/>
    <mergeCell ref="F24:G25"/>
    <mergeCell ref="F26:G26"/>
    <mergeCell ref="F27:G27"/>
    <mergeCell ref="F28:G28"/>
    <mergeCell ref="F29:G29"/>
    <mergeCell ref="F30:G30"/>
    <mergeCell ref="F31:G31"/>
    <mergeCell ref="F32:G32"/>
    <mergeCell ref="B8:I8"/>
    <mergeCell ref="AH5:AK5"/>
    <mergeCell ref="B16:E16"/>
    <mergeCell ref="B17:E17"/>
    <mergeCell ref="J6:S6"/>
    <mergeCell ref="B4:I5"/>
    <mergeCell ref="B6:I6"/>
    <mergeCell ref="B7:I7"/>
    <mergeCell ref="J4:S5"/>
    <mergeCell ref="H2:AK2"/>
    <mergeCell ref="AH4:AK4"/>
    <mergeCell ref="U5:AG5"/>
    <mergeCell ref="R8:S8"/>
    <mergeCell ref="B9:B12"/>
    <mergeCell ref="R9:S9"/>
    <mergeCell ref="B2:G2"/>
    <mergeCell ref="R10:S10"/>
    <mergeCell ref="R11:S11"/>
    <mergeCell ref="R12:S12"/>
    <mergeCell ref="J8:Q8"/>
    <mergeCell ref="J9:Q9"/>
    <mergeCell ref="J10:Q10"/>
    <mergeCell ref="J11:Q11"/>
    <mergeCell ref="J12:Q12"/>
    <mergeCell ref="C9:I9"/>
    <mergeCell ref="F52:G52"/>
    <mergeCell ref="F53:G53"/>
    <mergeCell ref="F54:G54"/>
    <mergeCell ref="F65:G65"/>
    <mergeCell ref="F66:G66"/>
    <mergeCell ref="F67:G67"/>
    <mergeCell ref="F74:G74"/>
    <mergeCell ref="F68:G68"/>
    <mergeCell ref="F55:G55"/>
    <mergeCell ref="F56:G56"/>
    <mergeCell ref="F57:G57"/>
    <mergeCell ref="F58:G58"/>
    <mergeCell ref="F59:G59"/>
    <mergeCell ref="F60:G60"/>
    <mergeCell ref="F61:G61"/>
    <mergeCell ref="F62:G62"/>
    <mergeCell ref="F63:G63"/>
    <mergeCell ref="F64:G64"/>
    <mergeCell ref="F75:G75"/>
    <mergeCell ref="F76:G76"/>
    <mergeCell ref="F77:G77"/>
    <mergeCell ref="F78:G78"/>
    <mergeCell ref="F79:G79"/>
    <mergeCell ref="F80:G80"/>
    <mergeCell ref="F81:G81"/>
    <mergeCell ref="F82:G82"/>
    <mergeCell ref="F94:G94"/>
    <mergeCell ref="F95:G95"/>
    <mergeCell ref="F83:G83"/>
    <mergeCell ref="F84:G84"/>
    <mergeCell ref="F85:G85"/>
    <mergeCell ref="F86:G86"/>
    <mergeCell ref="F87:G87"/>
    <mergeCell ref="F88:G88"/>
    <mergeCell ref="F89:G89"/>
    <mergeCell ref="F90:G90"/>
    <mergeCell ref="F91:G91"/>
  </mergeCells>
  <phoneticPr fontId="4"/>
  <conditionalFormatting sqref="AH96 AH98 AH100 AH102 AH104 AH106 AH108 AH110 AH112 AH114 AH116 AH118 AH120 AH122 AH124 AH126 AH128 AH130 AH132 AH134 AH136 AH138 AH140 AH142 AH144 AH146 AH148 AH150 AH152 AH154 AH156 AH158 AH160 AH162 AH164">
    <cfRule type="cellIs" dxfId="67" priority="92" operator="equal">
      <formula>"未実施"</formula>
    </cfRule>
    <cfRule type="cellIs" dxfId="66" priority="93" operator="equal">
      <formula>"一部実施"</formula>
    </cfRule>
    <cfRule type="cellIs" dxfId="65" priority="94" operator="equal">
      <formula>"全て実施"</formula>
    </cfRule>
  </conditionalFormatting>
  <conditionalFormatting sqref="U4:AK4">
    <cfRule type="expression" dxfId="64" priority="44">
      <formula>$J$7&lt;&gt;"個別・セントラル併用"</formula>
    </cfRule>
  </conditionalFormatting>
  <conditionalFormatting sqref="AH4:AK4">
    <cfRule type="expression" dxfId="63" priority="43">
      <formula>$J$7&lt;&gt;"個別・セントラル併用"</formula>
    </cfRule>
  </conditionalFormatting>
  <conditionalFormatting sqref="D51:E60 H51:AK60">
    <cfRule type="expression" dxfId="62" priority="38">
      <formula>$J$7="個別"</formula>
    </cfRule>
  </conditionalFormatting>
  <conditionalFormatting sqref="AH51:AK60">
    <cfRule type="expression" dxfId="61" priority="2">
      <formula>$J$7="個別"</formula>
    </cfRule>
    <cfRule type="expression" dxfId="60" priority="37">
      <formula>$J$7="個別"</formula>
    </cfRule>
  </conditionalFormatting>
  <conditionalFormatting sqref="D46:E50 H46:AK50">
    <cfRule type="expression" dxfId="59" priority="11">
      <formula>$J$7="セントラル"</formula>
    </cfRule>
  </conditionalFormatting>
  <conditionalFormatting sqref="AH46:AK50">
    <cfRule type="expression" dxfId="58" priority="1">
      <formula>$J$7="セントラル"</formula>
    </cfRule>
    <cfRule type="expression" dxfId="57" priority="3">
      <formula>$J$7="セントラル"</formula>
    </cfRule>
  </conditionalFormatting>
  <conditionalFormatting sqref="H26:R95">
    <cfRule type="expression" dxfId="56" priority="19">
      <formula>$F26="★"</formula>
    </cfRule>
  </conditionalFormatting>
  <conditionalFormatting sqref="J11:J12">
    <cfRule type="expression" dxfId="55" priority="13">
      <formula>$H13&gt;$H$7</formula>
    </cfRule>
  </conditionalFormatting>
  <conditionalFormatting sqref="J9:J10">
    <cfRule type="expression" dxfId="54" priority="14">
      <formula>#REF!&gt;$H$7</formula>
    </cfRule>
  </conditionalFormatting>
  <conditionalFormatting sqref="AH26:AK35">
    <cfRule type="cellIs" dxfId="53" priority="4" operator="equal">
      <formula>"未実施"</formula>
    </cfRule>
    <cfRule type="cellIs" dxfId="52" priority="117" operator="equal">
      <formula>"実施済"</formula>
    </cfRule>
    <cfRule type="cellIs" dxfId="51" priority="12" operator="equal">
      <formula>"一部実施済"</formula>
    </cfRule>
  </conditionalFormatting>
  <conditionalFormatting sqref="AH36:AK95">
    <cfRule type="cellIs" dxfId="50" priority="41" operator="equal">
      <formula>"未実施"</formula>
    </cfRule>
    <cfRule type="cellIs" dxfId="49" priority="40" operator="equal">
      <formula>"実施済"</formula>
    </cfRule>
    <cfRule type="cellIs" dxfId="48" priority="42" operator="notEqual">
      <formula>""</formula>
    </cfRule>
    <cfRule type="cellIs" dxfId="47" priority="39" operator="equal">
      <formula>"該当なし"</formula>
    </cfRule>
  </conditionalFormatting>
  <conditionalFormatting sqref="J8:Q8">
    <cfRule type="expression" dxfId="46" priority="9">
      <formula>J8&lt;SUM($J$9:$J$12)</formula>
    </cfRule>
  </conditionalFormatting>
  <conditionalFormatting sqref="F51:G60">
    <cfRule type="expression" dxfId="45" priority="8">
      <formula>$J$7="個別"</formula>
    </cfRule>
  </conditionalFormatting>
  <conditionalFormatting sqref="F46:G50">
    <cfRule type="expression" dxfId="44" priority="7">
      <formula>$J$7="セントラル"</formula>
    </cfRule>
  </conditionalFormatting>
  <conditionalFormatting sqref="B46:C50">
    <cfRule type="expression" dxfId="43" priority="6">
      <formula>$J$7="セントラル"</formula>
    </cfRule>
  </conditionalFormatting>
  <conditionalFormatting sqref="B51:C60">
    <cfRule type="expression" dxfId="42" priority="5">
      <formula>$J$7="個別"</formula>
    </cfRule>
  </conditionalFormatting>
  <dataValidations count="3">
    <dataValidation type="list" allowBlank="1" showInputMessage="1" showErrorMessage="1" sqref="J7:S7">
      <formula1>"個別,個別・セントラル併用,セントラル"</formula1>
    </dataValidation>
    <dataValidation type="decimal" operator="greaterThanOrEqual" allowBlank="1" showInputMessage="1" showErrorMessage="1" sqref="J9:Q12">
      <formula1>0</formula1>
    </dataValidation>
    <dataValidation operator="greaterThanOrEqual" allowBlank="1" showInputMessage="1" showErrorMessage="1" sqref="J8:Q8"/>
  </dataValidations>
  <printOptions horizontalCentered="1"/>
  <pageMargins left="0.31496062992125984" right="0.31496062992125984" top="0.35433070866141736" bottom="0.35433070866141736" header="0.31496062992125984" footer="0.31496062992125984"/>
  <pageSetup paperSize="9" scale="67" fitToHeight="0" orientation="portrait" r:id="rId1"/>
  <headerFooter>
    <oddFooter>&amp;P / &amp;N ページ</oddFooter>
  </headerFooter>
  <rowBreaks count="3" manualBreakCount="3">
    <brk id="45" max="44" man="1"/>
    <brk id="70" max="44" man="1"/>
    <brk id="115" min="1" max="41" man="1"/>
  </rowBreaks>
  <extLst>
    <ext xmlns:x14="http://schemas.microsoft.com/office/spreadsheetml/2009/9/main" uri="{78C0D931-6437-407d-A8EE-F0AAD7539E65}">
      <x14:conditionalFormattings>
        <x14:conditionalFormatting xmlns:xm="http://schemas.microsoft.com/office/excel/2006/main">
          <x14:cfRule type="expression" priority="125" id="{95312A6B-94CB-4BE9-9D6D-B3FEE0E87FD4}">
            <xm:f>$J15&gt;ベンチマーク比較!$H$9</xm:f>
            <x14:dxf>
              <fill>
                <patternFill>
                  <bgColor rgb="FFFF0000"/>
                </patternFill>
              </fill>
            </x14:dxf>
          </x14:cfRule>
          <xm:sqref>J15:Q15</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メイン!$W$19:$Y$19</xm:f>
          </x14:formula1>
          <xm:sqref>AH96:AK165</xm:sqref>
        </x14:dataValidation>
        <x14:dataValidation type="list" allowBlank="1" showInputMessage="1" showErrorMessage="1">
          <x14:formula1>
            <xm:f>削減率設定!#REF!</xm:f>
          </x14:formula1>
          <xm:sqref>AH17:AK17</xm:sqref>
        </x14:dataValidation>
        <x14:dataValidation type="list" allowBlank="1" showInputMessage="1" showErrorMessage="1">
          <x14:formula1>
            <xm:f>削減率設定!$AC21:$AI21</xm:f>
          </x14:formula1>
          <xm:sqref>AH5:AK5</xm:sqref>
        </x14:dataValidation>
        <x14:dataValidation type="list" allowBlank="1" showInputMessage="1" showErrorMessage="1">
          <x14:formula1>
            <xm:f>削減率設定!$AC20:$AI20</xm:f>
          </x14:formula1>
          <xm:sqref>AH4</xm:sqref>
        </x14:dataValidation>
        <x14:dataValidation type="list" allowBlank="1" showInputMessage="1" showErrorMessage="1">
          <x14:formula1>
            <xm:f>削減率設定!$AC20:$AI20</xm:f>
          </x14:formula1>
          <xm:sqref>Q18:S18</xm:sqref>
        </x14:dataValidation>
        <x14:dataValidation type="list" allowBlank="1" showInputMessage="1" showErrorMessage="1">
          <x14:formula1>
            <xm:f>削減率設定!$AC19:$AI19</xm:f>
          </x14:formula1>
          <xm:sqref>P17:S17</xm:sqref>
        </x14:dataValidation>
        <x14:dataValidation type="list" allowBlank="1" showInputMessage="1" showErrorMessage="1">
          <x14:formula1>
            <xm:f>メイン!$W29:$AA29</xm:f>
          </x14:formula1>
          <xm:sqref>AH36:AK95</xm:sqref>
        </x14:dataValidation>
        <x14:dataValidation type="list" allowBlank="1" showInputMessage="1" showErrorMessage="1">
          <x14:formula1>
            <xm:f>メイン!$W19:$Y19</xm:f>
          </x14:formula1>
          <xm:sqref>AH26:AK35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CA63"/>
  <sheetViews>
    <sheetView showGridLines="0" showRowColHeaders="0" zoomScale="85" zoomScaleNormal="85" zoomScaleSheetLayoutView="100" workbookViewId="0">
      <selection activeCell="H8" sqref="H8:Z8"/>
    </sheetView>
  </sheetViews>
  <sheetFormatPr defaultColWidth="0" defaultRowHeight="20.100000000000001" customHeight="1" zeroHeight="1"/>
  <cols>
    <col min="1" max="1" width="3.375" style="96" customWidth="1"/>
    <col min="2" max="41" width="3.375" style="383" customWidth="1"/>
    <col min="42" max="42" width="3.375" style="96" customWidth="1"/>
    <col min="43" max="79" width="3.375" style="96" hidden="1" customWidth="1"/>
    <col min="80" max="16384" width="9" style="96" hidden="1"/>
  </cols>
  <sheetData>
    <row r="1" spans="1:42" ht="21.95" customHeight="1">
      <c r="A1" s="381" t="s">
        <v>126</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1" t="s">
        <v>126</v>
      </c>
    </row>
    <row r="2" spans="1:42" ht="21.95" customHeight="1">
      <c r="A2" s="382"/>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4" t="str">
        <f ca="1">IFERROR("削減効果：約"&amp;TEXT(ROUND(T17/10000,0),"###,###,###,###,###,###")&amp;"万円 / 年","")</f>
        <v/>
      </c>
      <c r="AC2" s="784"/>
      <c r="AD2" s="784"/>
      <c r="AE2" s="784"/>
      <c r="AF2" s="784"/>
      <c r="AG2" s="784"/>
      <c r="AH2" s="784"/>
      <c r="AI2" s="784"/>
      <c r="AJ2" s="784"/>
      <c r="AK2" s="784"/>
      <c r="AL2" s="784"/>
      <c r="AM2" s="784"/>
      <c r="AN2" s="784"/>
      <c r="AO2" s="784"/>
      <c r="AP2" s="382"/>
    </row>
    <row r="3" spans="1:42" ht="21.95" customHeight="1">
      <c r="A3" s="382"/>
      <c r="B3" s="783"/>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4"/>
      <c r="AC3" s="784"/>
      <c r="AD3" s="784"/>
      <c r="AE3" s="784"/>
      <c r="AF3" s="784"/>
      <c r="AG3" s="784"/>
      <c r="AH3" s="784"/>
      <c r="AI3" s="784"/>
      <c r="AJ3" s="784"/>
      <c r="AK3" s="784"/>
      <c r="AL3" s="784"/>
      <c r="AM3" s="784"/>
      <c r="AN3" s="784"/>
      <c r="AO3" s="784"/>
      <c r="AP3" s="382"/>
    </row>
    <row r="4" spans="1:42" ht="21.95" customHeight="1">
      <c r="A4" s="382"/>
      <c r="B4" s="783"/>
      <c r="C4" s="783"/>
      <c r="D4" s="783"/>
      <c r="E4" s="783"/>
      <c r="F4" s="783"/>
      <c r="G4" s="783"/>
      <c r="H4" s="783"/>
      <c r="I4" s="783"/>
      <c r="J4" s="783"/>
      <c r="K4" s="783"/>
      <c r="L4" s="783"/>
      <c r="M4" s="783"/>
      <c r="N4" s="783"/>
      <c r="O4" s="783"/>
      <c r="P4" s="783"/>
      <c r="Q4" s="783"/>
      <c r="R4" s="783"/>
      <c r="S4" s="783"/>
      <c r="T4" s="783"/>
      <c r="U4" s="783"/>
      <c r="V4" s="783"/>
      <c r="W4" s="783"/>
      <c r="X4" s="783"/>
      <c r="Y4" s="783"/>
      <c r="Z4" s="783"/>
      <c r="AA4" s="783"/>
      <c r="AB4" s="784"/>
      <c r="AC4" s="784"/>
      <c r="AD4" s="784"/>
      <c r="AE4" s="784"/>
      <c r="AF4" s="784"/>
      <c r="AG4" s="784"/>
      <c r="AH4" s="784"/>
      <c r="AI4" s="784"/>
      <c r="AJ4" s="784"/>
      <c r="AK4" s="784"/>
      <c r="AL4" s="784"/>
      <c r="AM4" s="784"/>
      <c r="AN4" s="784"/>
      <c r="AO4" s="784"/>
      <c r="AP4" s="382"/>
    </row>
    <row r="5" spans="1:42" ht="21.95" customHeight="1">
      <c r="A5" s="382"/>
      <c r="B5" s="783"/>
      <c r="C5" s="783"/>
      <c r="D5" s="783"/>
      <c r="E5" s="783"/>
      <c r="F5" s="783"/>
      <c r="G5" s="783"/>
      <c r="H5" s="783"/>
      <c r="I5" s="783"/>
      <c r="J5" s="783"/>
      <c r="K5" s="783"/>
      <c r="L5" s="783"/>
      <c r="M5" s="783"/>
      <c r="N5" s="783"/>
      <c r="O5" s="783"/>
      <c r="P5" s="783"/>
      <c r="Q5" s="783"/>
      <c r="R5" s="783"/>
      <c r="S5" s="783"/>
      <c r="T5" s="783"/>
      <c r="U5" s="783"/>
      <c r="V5" s="783"/>
      <c r="W5" s="783"/>
      <c r="X5" s="783"/>
      <c r="Y5" s="783"/>
      <c r="Z5" s="783"/>
      <c r="AA5" s="783"/>
      <c r="AB5" s="784"/>
      <c r="AC5" s="784"/>
      <c r="AD5" s="784"/>
      <c r="AE5" s="784"/>
      <c r="AF5" s="784"/>
      <c r="AG5" s="784"/>
      <c r="AH5" s="784"/>
      <c r="AI5" s="784"/>
      <c r="AJ5" s="784"/>
      <c r="AK5" s="784"/>
      <c r="AL5" s="784"/>
      <c r="AM5" s="784"/>
      <c r="AN5" s="784"/>
      <c r="AO5" s="784"/>
      <c r="AP5" s="382"/>
    </row>
    <row r="6" spans="1:42" ht="21.95" customHeight="1">
      <c r="A6" s="38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row>
    <row r="7" spans="1:42" ht="21.75" customHeight="1">
      <c r="A7" s="382"/>
      <c r="B7" s="387" t="s">
        <v>129</v>
      </c>
      <c r="C7" s="388"/>
      <c r="D7" s="388"/>
      <c r="E7" s="388"/>
      <c r="F7" s="388"/>
      <c r="G7" s="388"/>
      <c r="H7" s="389"/>
      <c r="I7" s="389"/>
      <c r="J7" s="389"/>
      <c r="K7" s="389"/>
      <c r="L7" s="389"/>
      <c r="M7" s="389"/>
      <c r="N7" s="389"/>
      <c r="O7" s="389"/>
      <c r="P7" s="389"/>
      <c r="Q7" s="389"/>
      <c r="R7" s="389"/>
      <c r="S7" s="389"/>
      <c r="T7" s="389"/>
      <c r="U7" s="389"/>
      <c r="V7" s="389"/>
      <c r="W7" s="389"/>
      <c r="X7" s="389"/>
      <c r="Y7" s="389"/>
      <c r="Z7" s="390"/>
      <c r="AB7" s="391" t="s">
        <v>347</v>
      </c>
      <c r="AC7" s="392"/>
      <c r="AD7" s="392"/>
      <c r="AE7" s="392"/>
      <c r="AF7" s="392"/>
      <c r="AG7" s="392"/>
      <c r="AH7" s="392"/>
      <c r="AI7" s="392"/>
      <c r="AJ7" s="392"/>
      <c r="AK7" s="392"/>
      <c r="AL7" s="392"/>
      <c r="AM7" s="392"/>
      <c r="AN7" s="392"/>
      <c r="AO7" s="393"/>
      <c r="AP7" s="382"/>
    </row>
    <row r="8" spans="1:42" ht="31.5" customHeight="1">
      <c r="A8" s="382"/>
      <c r="B8" s="794" t="s">
        <v>128</v>
      </c>
      <c r="C8" s="795"/>
      <c r="D8" s="795"/>
      <c r="E8" s="795"/>
      <c r="F8" s="795"/>
      <c r="G8" s="795"/>
      <c r="H8" s="801" t="str">
        <f>対策チェック!J4</f>
        <v/>
      </c>
      <c r="I8" s="801"/>
      <c r="J8" s="801"/>
      <c r="K8" s="801"/>
      <c r="L8" s="801"/>
      <c r="M8" s="801"/>
      <c r="N8" s="801"/>
      <c r="O8" s="801"/>
      <c r="P8" s="801"/>
      <c r="Q8" s="801"/>
      <c r="R8" s="801"/>
      <c r="S8" s="801"/>
      <c r="T8" s="801"/>
      <c r="U8" s="801"/>
      <c r="V8" s="801"/>
      <c r="W8" s="801"/>
      <c r="X8" s="801"/>
      <c r="Y8" s="801"/>
      <c r="Z8" s="802"/>
      <c r="AA8" s="384"/>
      <c r="AB8" s="816" t="s">
        <v>492</v>
      </c>
      <c r="AC8" s="817"/>
      <c r="AD8" s="817"/>
      <c r="AE8" s="817"/>
      <c r="AF8" s="817"/>
      <c r="AG8" s="817"/>
      <c r="AH8" s="817"/>
      <c r="AI8" s="817"/>
      <c r="AJ8" s="817"/>
      <c r="AK8" s="817"/>
      <c r="AL8" s="817"/>
      <c r="AM8" s="817"/>
      <c r="AN8" s="817"/>
      <c r="AO8" s="818"/>
      <c r="AP8" s="382"/>
    </row>
    <row r="9" spans="1:42" ht="21.95" customHeight="1">
      <c r="A9" s="382"/>
      <c r="B9" s="796" t="s">
        <v>127</v>
      </c>
      <c r="C9" s="797"/>
      <c r="D9" s="797"/>
      <c r="E9" s="797"/>
      <c r="F9" s="797"/>
      <c r="G9" s="797"/>
      <c r="H9" s="803" t="str">
        <f>メイン!C2</f>
        <v>事務所</v>
      </c>
      <c r="I9" s="803"/>
      <c r="J9" s="803"/>
      <c r="K9" s="803"/>
      <c r="L9" s="803"/>
      <c r="M9" s="803"/>
      <c r="N9" s="803"/>
      <c r="O9" s="803"/>
      <c r="P9" s="803"/>
      <c r="Q9" s="803"/>
      <c r="R9" s="803"/>
      <c r="S9" s="803"/>
      <c r="T9" s="803"/>
      <c r="U9" s="803"/>
      <c r="V9" s="803"/>
      <c r="W9" s="803"/>
      <c r="X9" s="803"/>
      <c r="Y9" s="803"/>
      <c r="Z9" s="804"/>
      <c r="AA9" s="384"/>
      <c r="AB9" s="335"/>
      <c r="AC9" s="248"/>
      <c r="AD9" s="248"/>
      <c r="AE9" s="248"/>
      <c r="AF9" s="248"/>
      <c r="AG9" s="248"/>
      <c r="AH9" s="248"/>
      <c r="AI9" s="248"/>
      <c r="AJ9" s="248"/>
      <c r="AK9" s="248"/>
      <c r="AL9" s="248"/>
      <c r="AM9" s="248"/>
      <c r="AN9" s="248"/>
      <c r="AO9" s="336"/>
      <c r="AP9" s="382"/>
    </row>
    <row r="10" spans="1:42" ht="19.5" customHeight="1">
      <c r="A10" s="382"/>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37"/>
      <c r="AC10" s="98"/>
      <c r="AD10" s="98"/>
      <c r="AE10" s="98"/>
      <c r="AF10" s="98"/>
      <c r="AG10" s="98"/>
      <c r="AH10" s="98"/>
      <c r="AI10" s="98"/>
      <c r="AJ10" s="98"/>
      <c r="AK10" s="98"/>
      <c r="AL10" s="98"/>
      <c r="AM10" s="98"/>
      <c r="AN10" s="98"/>
      <c r="AO10" s="338"/>
      <c r="AP10" s="382"/>
    </row>
    <row r="11" spans="1:42" ht="21.95" customHeight="1">
      <c r="A11" s="382"/>
      <c r="B11" s="387" t="s">
        <v>491</v>
      </c>
      <c r="C11" s="388"/>
      <c r="D11" s="388"/>
      <c r="E11" s="388"/>
      <c r="F11" s="388"/>
      <c r="G11" s="388"/>
      <c r="H11" s="389"/>
      <c r="I11" s="389"/>
      <c r="J11" s="389"/>
      <c r="K11" s="389"/>
      <c r="L11" s="389"/>
      <c r="M11" s="389"/>
      <c r="N11" s="389"/>
      <c r="O11" s="389"/>
      <c r="P11" s="389"/>
      <c r="Q11" s="389"/>
      <c r="R11" s="389"/>
      <c r="S11" s="389"/>
      <c r="T11" s="389"/>
      <c r="U11" s="389"/>
      <c r="V11" s="389"/>
      <c r="W11" s="389"/>
      <c r="X11" s="389"/>
      <c r="Y11" s="389"/>
      <c r="Z11" s="390"/>
      <c r="AA11" s="382"/>
      <c r="AB11" s="337"/>
      <c r="AC11" s="98"/>
      <c r="AD11" s="98"/>
      <c r="AE11" s="98"/>
      <c r="AF11" s="98"/>
      <c r="AG11" s="98"/>
      <c r="AH11" s="98"/>
      <c r="AI11" s="98"/>
      <c r="AJ11" s="98"/>
      <c r="AK11" s="98"/>
      <c r="AL11" s="98"/>
      <c r="AM11" s="98"/>
      <c r="AN11" s="98"/>
      <c r="AO11" s="338"/>
      <c r="AP11" s="382"/>
    </row>
    <row r="12" spans="1:42" ht="21.95" customHeight="1">
      <c r="A12" s="382"/>
      <c r="B12" s="792" t="s">
        <v>133</v>
      </c>
      <c r="C12" s="793"/>
      <c r="D12" s="793"/>
      <c r="E12" s="793"/>
      <c r="F12" s="97"/>
      <c r="G12" s="97"/>
      <c r="H12" s="97"/>
      <c r="I12" s="97"/>
      <c r="J12" s="97"/>
      <c r="K12" s="97"/>
      <c r="L12" s="97"/>
      <c r="M12" s="97"/>
      <c r="N12" s="97"/>
      <c r="O12" s="97"/>
      <c r="P12" s="97"/>
      <c r="Q12" s="97"/>
      <c r="R12" s="97"/>
      <c r="S12" s="97"/>
      <c r="T12" s="97"/>
      <c r="U12" s="97"/>
      <c r="V12" s="97"/>
      <c r="W12" s="97"/>
      <c r="X12" s="97"/>
      <c r="Y12" s="97"/>
      <c r="Z12" s="338"/>
      <c r="AA12" s="382"/>
      <c r="AB12" s="337"/>
      <c r="AC12" s="98"/>
      <c r="AD12" s="98"/>
      <c r="AE12" s="98"/>
      <c r="AF12" s="98"/>
      <c r="AG12" s="98"/>
      <c r="AH12" s="98"/>
      <c r="AI12" s="98"/>
      <c r="AJ12" s="98"/>
      <c r="AK12" s="98"/>
      <c r="AL12" s="98"/>
      <c r="AM12" s="98"/>
      <c r="AN12" s="98"/>
      <c r="AO12" s="338"/>
      <c r="AP12" s="382"/>
    </row>
    <row r="13" spans="1:42" ht="18.75" customHeight="1">
      <c r="A13" s="382"/>
      <c r="B13" s="344"/>
      <c r="C13" s="334"/>
      <c r="D13" s="334"/>
      <c r="E13" s="805" t="s">
        <v>130</v>
      </c>
      <c r="F13" s="805"/>
      <c r="G13" s="805"/>
      <c r="H13" s="97"/>
      <c r="I13" s="805" t="s">
        <v>514</v>
      </c>
      <c r="J13" s="805"/>
      <c r="K13" s="805"/>
      <c r="L13" s="250"/>
      <c r="M13" s="98"/>
      <c r="N13" s="830" t="s">
        <v>515</v>
      </c>
      <c r="O13" s="830"/>
      <c r="P13" s="830"/>
      <c r="Q13" s="830"/>
      <c r="R13" s="97"/>
      <c r="S13" s="97"/>
      <c r="T13" s="98"/>
      <c r="U13" s="97"/>
      <c r="V13" s="97"/>
      <c r="W13" s="97"/>
      <c r="X13" s="97"/>
      <c r="Y13" s="97"/>
      <c r="Z13" s="338"/>
      <c r="AA13" s="382"/>
      <c r="AB13" s="337"/>
      <c r="AC13" s="98"/>
      <c r="AD13" s="98"/>
      <c r="AE13" s="98"/>
      <c r="AF13" s="98"/>
      <c r="AG13" s="98"/>
      <c r="AH13" s="98"/>
      <c r="AI13" s="98"/>
      <c r="AJ13" s="98"/>
      <c r="AK13" s="98"/>
      <c r="AL13" s="98"/>
      <c r="AM13" s="98"/>
      <c r="AN13" s="98"/>
      <c r="AO13" s="338"/>
      <c r="AP13" s="382"/>
    </row>
    <row r="14" spans="1:42" ht="14.25" customHeight="1">
      <c r="A14" s="382"/>
      <c r="B14" s="798" t="s">
        <v>718</v>
      </c>
      <c r="C14" s="799"/>
      <c r="D14" s="800"/>
      <c r="E14" s="831">
        <f>メイン!D9</f>
        <v>0</v>
      </c>
      <c r="F14" s="832"/>
      <c r="G14" s="833"/>
      <c r="H14" s="840" t="s">
        <v>131</v>
      </c>
      <c r="I14" s="831">
        <f ca="1">メイン!D12</f>
        <v>0</v>
      </c>
      <c r="J14" s="832"/>
      <c r="K14" s="833"/>
      <c r="L14" s="841" t="s">
        <v>132</v>
      </c>
      <c r="M14" s="842"/>
      <c r="N14" s="831">
        <f ca="1">E14-I14</f>
        <v>0</v>
      </c>
      <c r="O14" s="832"/>
      <c r="P14" s="832"/>
      <c r="Q14" s="833"/>
      <c r="R14" s="97"/>
      <c r="S14" s="97"/>
      <c r="T14" s="821">
        <f ca="1">メイン!D13</f>
        <v>0</v>
      </c>
      <c r="U14" s="822"/>
      <c r="V14" s="822"/>
      <c r="W14" s="823"/>
      <c r="X14" s="97"/>
      <c r="Y14" s="97"/>
      <c r="Z14" s="338"/>
      <c r="AA14" s="382"/>
      <c r="AB14" s="337"/>
      <c r="AC14" s="98"/>
      <c r="AD14" s="98"/>
      <c r="AE14" s="98"/>
      <c r="AF14" s="98"/>
      <c r="AG14" s="98"/>
      <c r="AH14" s="98"/>
      <c r="AI14" s="98"/>
      <c r="AJ14" s="98"/>
      <c r="AK14" s="98"/>
      <c r="AL14" s="98"/>
      <c r="AM14" s="98"/>
      <c r="AN14" s="98"/>
      <c r="AO14" s="338"/>
      <c r="AP14" s="382"/>
    </row>
    <row r="15" spans="1:42" ht="21.95" customHeight="1">
      <c r="A15" s="382"/>
      <c r="B15" s="798"/>
      <c r="C15" s="799"/>
      <c r="D15" s="800"/>
      <c r="E15" s="834"/>
      <c r="F15" s="835"/>
      <c r="G15" s="836"/>
      <c r="H15" s="840"/>
      <c r="I15" s="834"/>
      <c r="J15" s="835"/>
      <c r="K15" s="836"/>
      <c r="L15" s="841"/>
      <c r="M15" s="842"/>
      <c r="N15" s="834"/>
      <c r="O15" s="835"/>
      <c r="P15" s="835"/>
      <c r="Q15" s="836"/>
      <c r="R15" s="249"/>
      <c r="S15" s="97"/>
      <c r="T15" s="824"/>
      <c r="U15" s="825"/>
      <c r="V15" s="825"/>
      <c r="W15" s="826"/>
      <c r="X15" s="386" t="s">
        <v>493</v>
      </c>
      <c r="Y15" s="280"/>
      <c r="Z15" s="338"/>
      <c r="AA15" s="385"/>
      <c r="AB15" s="339"/>
      <c r="AC15" s="252"/>
      <c r="AD15" s="103"/>
      <c r="AE15" s="98"/>
      <c r="AF15" s="98"/>
      <c r="AG15" s="98"/>
      <c r="AH15" s="98"/>
      <c r="AI15" s="98"/>
      <c r="AJ15" s="253"/>
      <c r="AK15" s="253"/>
      <c r="AL15" s="253"/>
      <c r="AM15" s="98"/>
      <c r="AN15" s="98"/>
      <c r="AO15" s="338"/>
      <c r="AP15" s="382"/>
    </row>
    <row r="16" spans="1:42" ht="21.95" customHeight="1">
      <c r="A16" s="382"/>
      <c r="B16" s="798"/>
      <c r="C16" s="799"/>
      <c r="D16" s="800"/>
      <c r="E16" s="837"/>
      <c r="F16" s="838"/>
      <c r="G16" s="839"/>
      <c r="H16" s="840"/>
      <c r="I16" s="837"/>
      <c r="J16" s="838"/>
      <c r="K16" s="839"/>
      <c r="L16" s="841"/>
      <c r="M16" s="842"/>
      <c r="N16" s="837"/>
      <c r="O16" s="838"/>
      <c r="P16" s="838"/>
      <c r="Q16" s="839"/>
      <c r="R16" s="249"/>
      <c r="S16" s="277"/>
      <c r="T16" s="827"/>
      <c r="U16" s="828"/>
      <c r="V16" s="828"/>
      <c r="W16" s="829"/>
      <c r="X16" s="819" t="s">
        <v>516</v>
      </c>
      <c r="Y16" s="819"/>
      <c r="Z16" s="820"/>
      <c r="AA16" s="385"/>
      <c r="AB16" s="339"/>
      <c r="AC16" s="252"/>
      <c r="AD16" s="98"/>
      <c r="AE16" s="98"/>
      <c r="AF16" s="98"/>
      <c r="AG16" s="98"/>
      <c r="AH16" s="253"/>
      <c r="AI16" s="253"/>
      <c r="AJ16" s="253"/>
      <c r="AK16" s="253"/>
      <c r="AL16" s="253"/>
      <c r="AM16" s="98"/>
      <c r="AN16" s="98"/>
      <c r="AO16" s="340"/>
      <c r="AP16" s="382"/>
    </row>
    <row r="17" spans="1:42" ht="44.25" customHeight="1">
      <c r="A17" s="382"/>
      <c r="B17" s="806" t="s">
        <v>553</v>
      </c>
      <c r="C17" s="807"/>
      <c r="D17" s="807"/>
      <c r="E17" s="807"/>
      <c r="F17" s="807"/>
      <c r="G17" s="807"/>
      <c r="H17" s="807"/>
      <c r="I17" s="807"/>
      <c r="J17" s="807"/>
      <c r="K17" s="807"/>
      <c r="L17" s="807"/>
      <c r="M17" s="807"/>
      <c r="N17" s="807"/>
      <c r="O17" s="807"/>
      <c r="P17" s="807"/>
      <c r="Q17" s="807"/>
      <c r="R17" s="807"/>
      <c r="S17" s="347"/>
      <c r="T17" s="809" t="str">
        <f ca="1">メイン!$D$14</f>
        <v/>
      </c>
      <c r="U17" s="809"/>
      <c r="V17" s="809"/>
      <c r="W17" s="809"/>
      <c r="X17" s="348"/>
      <c r="Y17" s="348"/>
      <c r="Z17" s="343"/>
      <c r="AA17" s="382"/>
      <c r="AB17" s="341"/>
      <c r="AC17" s="342"/>
      <c r="AD17" s="342"/>
      <c r="AE17" s="342"/>
      <c r="AF17" s="342"/>
      <c r="AG17" s="342"/>
      <c r="AH17" s="342"/>
      <c r="AI17" s="342"/>
      <c r="AJ17" s="342"/>
      <c r="AK17" s="342"/>
      <c r="AL17" s="342"/>
      <c r="AM17" s="342"/>
      <c r="AN17" s="342"/>
      <c r="AO17" s="343"/>
      <c r="AP17" s="382"/>
    </row>
    <row r="18" spans="1:42" ht="21.95" customHeight="1">
      <c r="A18" s="382"/>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row>
    <row r="19" spans="1:42" ht="21.95" customHeight="1">
      <c r="A19" s="382"/>
      <c r="B19" s="387" t="s">
        <v>495</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94"/>
      <c r="AP19" s="382"/>
    </row>
    <row r="20" spans="1:42" ht="21.95" customHeight="1">
      <c r="A20" s="382"/>
      <c r="B20" s="349" t="s">
        <v>352</v>
      </c>
      <c r="C20" s="331"/>
      <c r="D20" s="331"/>
      <c r="E20" s="331"/>
      <c r="F20" s="97"/>
      <c r="G20" s="97"/>
      <c r="H20" s="97"/>
      <c r="I20" s="97"/>
      <c r="J20" s="97"/>
      <c r="K20" s="97"/>
      <c r="L20" s="97"/>
      <c r="M20" s="97"/>
      <c r="N20" s="97"/>
      <c r="O20" s="97"/>
      <c r="P20" s="97"/>
      <c r="Q20" s="97"/>
      <c r="R20" s="97"/>
      <c r="S20" s="793" t="s">
        <v>348</v>
      </c>
      <c r="T20" s="793"/>
      <c r="U20" s="793"/>
      <c r="V20" s="793"/>
      <c r="W20" s="793"/>
      <c r="X20" s="793"/>
      <c r="Y20" s="793"/>
      <c r="Z20" s="793"/>
      <c r="AA20" s="97"/>
      <c r="AB20" s="332" t="s">
        <v>340</v>
      </c>
      <c r="AC20" s="97"/>
      <c r="AD20" s="97"/>
      <c r="AE20" s="97"/>
      <c r="AF20" s="97"/>
      <c r="AG20" s="97"/>
      <c r="AH20" s="97"/>
      <c r="AI20" s="97"/>
      <c r="AJ20" s="97"/>
      <c r="AK20" s="97"/>
      <c r="AL20" s="97"/>
      <c r="AM20" s="97"/>
      <c r="AN20" s="97"/>
      <c r="AO20" s="350"/>
      <c r="AP20" s="382"/>
    </row>
    <row r="21" spans="1:42" ht="21.95" customHeight="1">
      <c r="A21" s="382"/>
      <c r="B21" s="345"/>
      <c r="C21" s="97"/>
      <c r="D21" s="97"/>
      <c r="E21" s="97"/>
      <c r="F21" s="97"/>
      <c r="G21" s="97"/>
      <c r="H21" s="97"/>
      <c r="I21" s="97"/>
      <c r="J21" s="97"/>
      <c r="K21" s="97"/>
      <c r="L21" s="785" t="str">
        <f ca="1">IFERROR("削減効果：約　"&amp;ROUND(メイン!C26/10000,1)&amp;"　万円/年","")</f>
        <v/>
      </c>
      <c r="M21" s="785"/>
      <c r="N21" s="785"/>
      <c r="O21" s="785"/>
      <c r="P21" s="785"/>
      <c r="Q21" s="785"/>
      <c r="R21" s="785"/>
      <c r="S21" s="793"/>
      <c r="T21" s="793"/>
      <c r="U21" s="793"/>
      <c r="V21" s="793"/>
      <c r="W21" s="793"/>
      <c r="X21" s="793"/>
      <c r="Y21" s="793"/>
      <c r="Z21" s="793"/>
      <c r="AA21" s="97"/>
      <c r="AB21" s="97"/>
      <c r="AC21" s="97"/>
      <c r="AD21" s="97"/>
      <c r="AE21" s="97"/>
      <c r="AF21" s="97"/>
      <c r="AG21" s="97"/>
      <c r="AH21" s="97"/>
      <c r="AI21" s="97"/>
      <c r="AJ21" s="97"/>
      <c r="AK21" s="97"/>
      <c r="AL21" s="97"/>
      <c r="AM21" s="97"/>
      <c r="AN21" s="97"/>
      <c r="AO21" s="350"/>
      <c r="AP21" s="382"/>
    </row>
    <row r="22" spans="1:42" ht="21.95" customHeight="1">
      <c r="A22" s="382"/>
      <c r="B22" s="798" t="s">
        <v>494</v>
      </c>
      <c r="C22" s="799"/>
      <c r="D22" s="799"/>
      <c r="E22" s="800"/>
      <c r="F22" s="786">
        <f ca="1">メイン!C24</f>
        <v>0</v>
      </c>
      <c r="G22" s="787"/>
      <c r="H22" s="788"/>
      <c r="I22" s="251"/>
      <c r="J22" s="251"/>
      <c r="K22" s="97"/>
      <c r="L22" s="786">
        <f ca="1">メイン!C23*100</f>
        <v>0</v>
      </c>
      <c r="M22" s="787"/>
      <c r="N22" s="788"/>
      <c r="O22" s="251"/>
      <c r="P22" s="251"/>
      <c r="Q22" s="251"/>
      <c r="R22" s="99"/>
      <c r="S22" s="97"/>
      <c r="T22" s="97"/>
      <c r="U22" s="97"/>
      <c r="V22" s="97"/>
      <c r="W22" s="97"/>
      <c r="X22" s="97"/>
      <c r="Y22" s="97"/>
      <c r="Z22" s="97"/>
      <c r="AA22" s="97"/>
      <c r="AB22" s="97"/>
      <c r="AC22" s="97"/>
      <c r="AD22" s="97"/>
      <c r="AE22" s="97"/>
      <c r="AF22" s="97"/>
      <c r="AG22" s="97"/>
      <c r="AH22" s="97"/>
      <c r="AI22" s="97"/>
      <c r="AJ22" s="97"/>
      <c r="AK22" s="97"/>
      <c r="AL22" s="97"/>
      <c r="AM22" s="97"/>
      <c r="AN22" s="97"/>
      <c r="AO22" s="350"/>
      <c r="AP22" s="382"/>
    </row>
    <row r="23" spans="1:42" ht="21.95" customHeight="1">
      <c r="A23" s="382"/>
      <c r="B23" s="798"/>
      <c r="C23" s="799"/>
      <c r="D23" s="799"/>
      <c r="E23" s="800"/>
      <c r="F23" s="789"/>
      <c r="G23" s="790"/>
      <c r="H23" s="791"/>
      <c r="I23" s="251"/>
      <c r="J23" s="251"/>
      <c r="K23" s="97"/>
      <c r="L23" s="789"/>
      <c r="M23" s="790"/>
      <c r="N23" s="791"/>
      <c r="O23" s="124" t="s">
        <v>185</v>
      </c>
      <c r="P23" s="251"/>
      <c r="Q23" s="251"/>
      <c r="R23" s="97"/>
      <c r="S23" s="97"/>
      <c r="T23" s="97"/>
      <c r="U23" s="97"/>
      <c r="V23" s="97"/>
      <c r="W23" s="97"/>
      <c r="X23" s="97"/>
      <c r="Y23" s="97"/>
      <c r="Z23" s="97"/>
      <c r="AA23" s="97"/>
      <c r="AB23" s="97"/>
      <c r="AC23" s="97"/>
      <c r="AD23" s="97"/>
      <c r="AE23" s="97"/>
      <c r="AF23" s="97"/>
      <c r="AG23" s="97"/>
      <c r="AH23" s="97"/>
      <c r="AI23" s="97"/>
      <c r="AJ23" s="97"/>
      <c r="AK23" s="97"/>
      <c r="AL23" s="97"/>
      <c r="AM23" s="97"/>
      <c r="AN23" s="97"/>
      <c r="AO23" s="350"/>
      <c r="AP23" s="382"/>
    </row>
    <row r="24" spans="1:42" ht="21.95" customHeight="1">
      <c r="A24" s="382"/>
      <c r="B24" s="346"/>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51"/>
      <c r="AP24" s="382"/>
    </row>
    <row r="25" spans="1:42" ht="21.95" customHeight="1">
      <c r="A25" s="382"/>
      <c r="B25" s="352" t="s">
        <v>472</v>
      </c>
      <c r="C25" s="353"/>
      <c r="D25" s="353"/>
      <c r="E25" s="353"/>
      <c r="F25" s="354"/>
      <c r="G25" s="354"/>
      <c r="H25" s="354"/>
      <c r="I25" s="354"/>
      <c r="J25" s="354"/>
      <c r="K25" s="354"/>
      <c r="L25" s="354"/>
      <c r="M25" s="354"/>
      <c r="N25" s="354"/>
      <c r="O25" s="354"/>
      <c r="P25" s="354"/>
      <c r="Q25" s="354"/>
      <c r="R25" s="354"/>
      <c r="S25" s="808" t="s">
        <v>348</v>
      </c>
      <c r="T25" s="808"/>
      <c r="U25" s="808"/>
      <c r="V25" s="808"/>
      <c r="W25" s="808"/>
      <c r="X25" s="808"/>
      <c r="Y25" s="808"/>
      <c r="Z25" s="808"/>
      <c r="AA25" s="354"/>
      <c r="AB25" s="355" t="s">
        <v>340</v>
      </c>
      <c r="AC25" s="354"/>
      <c r="AD25" s="354"/>
      <c r="AE25" s="354"/>
      <c r="AF25" s="354"/>
      <c r="AG25" s="354"/>
      <c r="AH25" s="354"/>
      <c r="AI25" s="354"/>
      <c r="AJ25" s="354"/>
      <c r="AK25" s="354"/>
      <c r="AL25" s="354"/>
      <c r="AM25" s="354"/>
      <c r="AN25" s="354"/>
      <c r="AO25" s="356"/>
      <c r="AP25" s="382"/>
    </row>
    <row r="26" spans="1:42" ht="21.95" customHeight="1">
      <c r="A26" s="382"/>
      <c r="B26" s="345"/>
      <c r="C26" s="97"/>
      <c r="D26" s="97"/>
      <c r="E26" s="97"/>
      <c r="F26" s="97"/>
      <c r="G26" s="97"/>
      <c r="H26" s="97"/>
      <c r="I26" s="97"/>
      <c r="J26" s="97"/>
      <c r="K26" s="97"/>
      <c r="L26" s="785" t="str">
        <f ca="1">IFERROR("削減効果：約　"&amp;ROUND(メイン!C36/10000,1)&amp;"　万円/年","")</f>
        <v/>
      </c>
      <c r="M26" s="785"/>
      <c r="N26" s="785"/>
      <c r="O26" s="785"/>
      <c r="P26" s="785"/>
      <c r="Q26" s="785"/>
      <c r="R26" s="785"/>
      <c r="S26" s="793"/>
      <c r="T26" s="793"/>
      <c r="U26" s="793"/>
      <c r="V26" s="793"/>
      <c r="W26" s="793"/>
      <c r="X26" s="793"/>
      <c r="Y26" s="793"/>
      <c r="Z26" s="793"/>
      <c r="AA26" s="97"/>
      <c r="AB26" s="97"/>
      <c r="AC26" s="97"/>
      <c r="AD26" s="97"/>
      <c r="AE26" s="97"/>
      <c r="AF26" s="97"/>
      <c r="AG26" s="97"/>
      <c r="AH26" s="97"/>
      <c r="AI26" s="97"/>
      <c r="AJ26" s="97"/>
      <c r="AK26" s="97"/>
      <c r="AL26" s="97"/>
      <c r="AM26" s="97"/>
      <c r="AN26" s="97"/>
      <c r="AO26" s="350"/>
      <c r="AP26" s="382"/>
    </row>
    <row r="27" spans="1:42" ht="21.95" customHeight="1">
      <c r="A27" s="382"/>
      <c r="B27" s="798" t="s">
        <v>494</v>
      </c>
      <c r="C27" s="799"/>
      <c r="D27" s="799"/>
      <c r="E27" s="800"/>
      <c r="F27" s="810">
        <f ca="1">メイン!C34</f>
        <v>0</v>
      </c>
      <c r="G27" s="811"/>
      <c r="H27" s="812"/>
      <c r="I27" s="251"/>
      <c r="J27" s="251"/>
      <c r="K27" s="97"/>
      <c r="L27" s="786">
        <f ca="1">IF(ISNUMBER(メイン!C33),メイン!C33*100,"-")</f>
        <v>0</v>
      </c>
      <c r="M27" s="787"/>
      <c r="N27" s="788"/>
      <c r="O27" s="251"/>
      <c r="P27" s="251"/>
      <c r="Q27" s="251"/>
      <c r="R27" s="99"/>
      <c r="S27" s="97"/>
      <c r="T27" s="97"/>
      <c r="U27" s="97"/>
      <c r="V27" s="97"/>
      <c r="W27" s="97"/>
      <c r="X27" s="97"/>
      <c r="Y27" s="97"/>
      <c r="Z27" s="97"/>
      <c r="AA27" s="97"/>
      <c r="AB27" s="97"/>
      <c r="AC27" s="97"/>
      <c r="AD27" s="97"/>
      <c r="AE27" s="97"/>
      <c r="AF27" s="97"/>
      <c r="AG27" s="97"/>
      <c r="AH27" s="97"/>
      <c r="AI27" s="97"/>
      <c r="AJ27" s="97"/>
      <c r="AK27" s="97"/>
      <c r="AL27" s="97"/>
      <c r="AM27" s="97"/>
      <c r="AN27" s="97"/>
      <c r="AO27" s="350"/>
      <c r="AP27" s="382"/>
    </row>
    <row r="28" spans="1:42" ht="21.95" customHeight="1">
      <c r="A28" s="382"/>
      <c r="B28" s="798"/>
      <c r="C28" s="799"/>
      <c r="D28" s="799"/>
      <c r="E28" s="800"/>
      <c r="F28" s="813"/>
      <c r="G28" s="814"/>
      <c r="H28" s="815"/>
      <c r="I28" s="251"/>
      <c r="J28" s="251"/>
      <c r="K28" s="97"/>
      <c r="L28" s="789"/>
      <c r="M28" s="790"/>
      <c r="N28" s="791"/>
      <c r="O28" s="124" t="s">
        <v>185</v>
      </c>
      <c r="P28" s="251"/>
      <c r="Q28" s="251"/>
      <c r="R28" s="250"/>
      <c r="S28" s="97"/>
      <c r="T28" s="97"/>
      <c r="U28" s="97"/>
      <c r="V28" s="97"/>
      <c r="W28" s="97"/>
      <c r="X28" s="97"/>
      <c r="Y28" s="97"/>
      <c r="Z28" s="97"/>
      <c r="AA28" s="97"/>
      <c r="AB28" s="97"/>
      <c r="AC28" s="97"/>
      <c r="AD28" s="97"/>
      <c r="AE28" s="97"/>
      <c r="AF28" s="97"/>
      <c r="AG28" s="97"/>
      <c r="AH28" s="97"/>
      <c r="AI28" s="97"/>
      <c r="AJ28" s="97"/>
      <c r="AK28" s="97"/>
      <c r="AL28" s="97"/>
      <c r="AM28" s="97"/>
      <c r="AN28" s="97"/>
      <c r="AO28" s="350"/>
      <c r="AP28" s="382"/>
    </row>
    <row r="29" spans="1:42" ht="21.95" customHeight="1">
      <c r="A29" s="382"/>
      <c r="B29" s="346"/>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51"/>
      <c r="AP29" s="382"/>
    </row>
    <row r="30" spans="1:42" ht="21.95" customHeight="1">
      <c r="A30" s="382"/>
      <c r="B30" s="352" t="s">
        <v>473</v>
      </c>
      <c r="C30" s="353"/>
      <c r="D30" s="353"/>
      <c r="E30" s="353"/>
      <c r="F30" s="354"/>
      <c r="G30" s="354"/>
      <c r="H30" s="354"/>
      <c r="I30" s="357"/>
      <c r="J30" s="354"/>
      <c r="K30" s="354"/>
      <c r="L30" s="354"/>
      <c r="M30" s="354"/>
      <c r="N30" s="354"/>
      <c r="O30" s="354"/>
      <c r="P30" s="354"/>
      <c r="Q30" s="354"/>
      <c r="R30" s="354"/>
      <c r="S30" s="808" t="s">
        <v>348</v>
      </c>
      <c r="T30" s="808"/>
      <c r="U30" s="808"/>
      <c r="V30" s="808"/>
      <c r="W30" s="808"/>
      <c r="X30" s="808"/>
      <c r="Y30" s="808"/>
      <c r="Z30" s="808"/>
      <c r="AA30" s="354"/>
      <c r="AB30" s="355" t="s">
        <v>340</v>
      </c>
      <c r="AC30" s="354"/>
      <c r="AD30" s="354"/>
      <c r="AE30" s="354"/>
      <c r="AF30" s="354"/>
      <c r="AG30" s="354"/>
      <c r="AH30" s="354"/>
      <c r="AI30" s="354"/>
      <c r="AJ30" s="354"/>
      <c r="AK30" s="354"/>
      <c r="AL30" s="354"/>
      <c r="AM30" s="354"/>
      <c r="AN30" s="354"/>
      <c r="AO30" s="356"/>
      <c r="AP30" s="382"/>
    </row>
    <row r="31" spans="1:42" ht="21.95" customHeight="1">
      <c r="A31" s="382"/>
      <c r="B31" s="345"/>
      <c r="C31" s="97"/>
      <c r="D31" s="97"/>
      <c r="E31" s="97"/>
      <c r="F31" s="97"/>
      <c r="G31" s="97"/>
      <c r="H31" s="97"/>
      <c r="I31" s="97"/>
      <c r="J31" s="97"/>
      <c r="K31" s="97"/>
      <c r="L31" s="785" t="str">
        <f ca="1">IFERROR("削減効果：約　"&amp;ROUND(メイン!C49/10000,1)&amp;"　万円/年","")</f>
        <v/>
      </c>
      <c r="M31" s="785"/>
      <c r="N31" s="785"/>
      <c r="O31" s="785"/>
      <c r="P31" s="785"/>
      <c r="Q31" s="785"/>
      <c r="R31" s="785"/>
      <c r="S31" s="793"/>
      <c r="T31" s="793"/>
      <c r="U31" s="793"/>
      <c r="V31" s="793"/>
      <c r="W31" s="793"/>
      <c r="X31" s="793"/>
      <c r="Y31" s="793"/>
      <c r="Z31" s="793"/>
      <c r="AA31" s="97"/>
      <c r="AB31" s="97"/>
      <c r="AC31" s="97"/>
      <c r="AD31" s="97"/>
      <c r="AE31" s="97"/>
      <c r="AF31" s="97"/>
      <c r="AG31" s="97"/>
      <c r="AH31" s="97"/>
      <c r="AI31" s="97"/>
      <c r="AJ31" s="97"/>
      <c r="AK31" s="97"/>
      <c r="AL31" s="97"/>
      <c r="AM31" s="97"/>
      <c r="AN31" s="97"/>
      <c r="AO31" s="350"/>
      <c r="AP31" s="382"/>
    </row>
    <row r="32" spans="1:42" ht="21.95" customHeight="1">
      <c r="A32" s="382"/>
      <c r="B32" s="798" t="s">
        <v>494</v>
      </c>
      <c r="C32" s="799"/>
      <c r="D32" s="799"/>
      <c r="E32" s="800"/>
      <c r="F32" s="786">
        <f ca="1">メイン!C47</f>
        <v>0</v>
      </c>
      <c r="G32" s="787"/>
      <c r="H32" s="788"/>
      <c r="I32" s="251"/>
      <c r="J32" s="251"/>
      <c r="K32" s="97"/>
      <c r="L32" s="786">
        <f ca="1">メイン!C46*100</f>
        <v>0</v>
      </c>
      <c r="M32" s="787"/>
      <c r="N32" s="788"/>
      <c r="O32" s="251"/>
      <c r="P32" s="251"/>
      <c r="Q32" s="251"/>
      <c r="R32" s="99"/>
      <c r="S32" s="97"/>
      <c r="T32" s="97"/>
      <c r="U32" s="97"/>
      <c r="V32" s="97"/>
      <c r="W32" s="97"/>
      <c r="X32" s="97"/>
      <c r="Y32" s="97"/>
      <c r="Z32" s="97"/>
      <c r="AA32" s="97"/>
      <c r="AB32" s="97"/>
      <c r="AC32" s="97"/>
      <c r="AD32" s="97"/>
      <c r="AE32" s="97"/>
      <c r="AF32" s="97"/>
      <c r="AG32" s="97"/>
      <c r="AH32" s="97"/>
      <c r="AI32" s="97"/>
      <c r="AJ32" s="97"/>
      <c r="AK32" s="97"/>
      <c r="AL32" s="97"/>
      <c r="AM32" s="97"/>
      <c r="AN32" s="97"/>
      <c r="AO32" s="350"/>
      <c r="AP32" s="382"/>
    </row>
    <row r="33" spans="1:42" ht="21.95" customHeight="1">
      <c r="A33" s="382"/>
      <c r="B33" s="798"/>
      <c r="C33" s="799"/>
      <c r="D33" s="799"/>
      <c r="E33" s="800"/>
      <c r="F33" s="789"/>
      <c r="G33" s="790"/>
      <c r="H33" s="791"/>
      <c r="I33" s="251"/>
      <c r="J33" s="251"/>
      <c r="K33" s="97"/>
      <c r="L33" s="789"/>
      <c r="M33" s="790"/>
      <c r="N33" s="791"/>
      <c r="O33" s="124" t="s">
        <v>185</v>
      </c>
      <c r="P33" s="251"/>
      <c r="Q33" s="251"/>
      <c r="R33" s="97"/>
      <c r="S33" s="97"/>
      <c r="T33" s="97"/>
      <c r="U33" s="97"/>
      <c r="V33" s="97"/>
      <c r="W33" s="97"/>
      <c r="X33" s="97"/>
      <c r="Y33" s="97"/>
      <c r="Z33" s="97"/>
      <c r="AA33" s="97"/>
      <c r="AB33" s="97"/>
      <c r="AC33" s="97"/>
      <c r="AD33" s="97"/>
      <c r="AE33" s="97"/>
      <c r="AF33" s="97"/>
      <c r="AG33" s="97"/>
      <c r="AH33" s="97"/>
      <c r="AI33" s="97"/>
      <c r="AJ33" s="97"/>
      <c r="AK33" s="97"/>
      <c r="AL33" s="97"/>
      <c r="AM33" s="97"/>
      <c r="AN33" s="97"/>
      <c r="AO33" s="350"/>
      <c r="AP33" s="382"/>
    </row>
    <row r="34" spans="1:42" ht="21.95" customHeight="1">
      <c r="A34" s="382"/>
      <c r="B34" s="346"/>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51"/>
      <c r="AP34" s="382"/>
    </row>
    <row r="35" spans="1:42" ht="21.95" customHeight="1">
      <c r="A35" s="382"/>
      <c r="B35" s="352" t="s">
        <v>353</v>
      </c>
      <c r="C35" s="353"/>
      <c r="D35" s="353"/>
      <c r="E35" s="353"/>
      <c r="F35" s="354"/>
      <c r="G35" s="354"/>
      <c r="H35" s="354"/>
      <c r="I35" s="354"/>
      <c r="J35" s="354"/>
      <c r="K35" s="354"/>
      <c r="L35" s="354"/>
      <c r="M35" s="354"/>
      <c r="N35" s="354"/>
      <c r="O35" s="354"/>
      <c r="P35" s="354"/>
      <c r="Q35" s="354"/>
      <c r="R35" s="354"/>
      <c r="S35" s="808" t="s">
        <v>348</v>
      </c>
      <c r="T35" s="808"/>
      <c r="U35" s="808"/>
      <c r="V35" s="808"/>
      <c r="W35" s="808"/>
      <c r="X35" s="808"/>
      <c r="Y35" s="808"/>
      <c r="Z35" s="808"/>
      <c r="AA35" s="354"/>
      <c r="AB35" s="355" t="s">
        <v>340</v>
      </c>
      <c r="AC35" s="354"/>
      <c r="AD35" s="354"/>
      <c r="AE35" s="354"/>
      <c r="AF35" s="354"/>
      <c r="AG35" s="354"/>
      <c r="AH35" s="354"/>
      <c r="AI35" s="354"/>
      <c r="AJ35" s="354"/>
      <c r="AK35" s="354"/>
      <c r="AL35" s="354"/>
      <c r="AM35" s="354"/>
      <c r="AN35" s="354"/>
      <c r="AO35" s="356"/>
      <c r="AP35" s="382"/>
    </row>
    <row r="36" spans="1:42" ht="21.95" customHeight="1">
      <c r="A36" s="382"/>
      <c r="B36" s="345"/>
      <c r="C36" s="97"/>
      <c r="D36" s="97"/>
      <c r="E36" s="97"/>
      <c r="F36" s="97"/>
      <c r="G36" s="97"/>
      <c r="H36" s="97"/>
      <c r="I36" s="97"/>
      <c r="J36" s="97"/>
      <c r="K36" s="97"/>
      <c r="L36" s="785" t="str">
        <f ca="1">IFERROR("削減効果：約　"&amp;ROUND(メイン!C61/10000,1)&amp;"　万円/年","")</f>
        <v/>
      </c>
      <c r="M36" s="785"/>
      <c r="N36" s="785"/>
      <c r="O36" s="785"/>
      <c r="P36" s="785"/>
      <c r="Q36" s="785"/>
      <c r="R36" s="785"/>
      <c r="S36" s="793"/>
      <c r="T36" s="793"/>
      <c r="U36" s="793"/>
      <c r="V36" s="793"/>
      <c r="W36" s="793"/>
      <c r="X36" s="793"/>
      <c r="Y36" s="793"/>
      <c r="Z36" s="793"/>
      <c r="AA36" s="97"/>
      <c r="AB36" s="97"/>
      <c r="AC36" s="97"/>
      <c r="AD36" s="97"/>
      <c r="AE36" s="97"/>
      <c r="AF36" s="97"/>
      <c r="AG36" s="97"/>
      <c r="AH36" s="97"/>
      <c r="AI36" s="97"/>
      <c r="AJ36" s="97"/>
      <c r="AK36" s="97"/>
      <c r="AL36" s="97"/>
      <c r="AM36" s="97"/>
      <c r="AN36" s="97"/>
      <c r="AO36" s="350"/>
      <c r="AP36" s="382"/>
    </row>
    <row r="37" spans="1:42" ht="21.95" customHeight="1">
      <c r="A37" s="382"/>
      <c r="B37" s="798" t="s">
        <v>494</v>
      </c>
      <c r="C37" s="799"/>
      <c r="D37" s="799"/>
      <c r="E37" s="800"/>
      <c r="F37" s="786">
        <f ca="1">メイン!C59</f>
        <v>0</v>
      </c>
      <c r="G37" s="787"/>
      <c r="H37" s="788"/>
      <c r="I37" s="251"/>
      <c r="J37" s="251"/>
      <c r="K37" s="97"/>
      <c r="L37" s="786">
        <f ca="1">メイン!C58*100</f>
        <v>0</v>
      </c>
      <c r="M37" s="787"/>
      <c r="N37" s="788"/>
      <c r="O37" s="251"/>
      <c r="P37" s="251"/>
      <c r="Q37" s="251"/>
      <c r="R37" s="99"/>
      <c r="S37" s="97"/>
      <c r="T37" s="97"/>
      <c r="U37" s="97"/>
      <c r="V37" s="97"/>
      <c r="W37" s="97"/>
      <c r="X37" s="97"/>
      <c r="Y37" s="97"/>
      <c r="Z37" s="97"/>
      <c r="AA37" s="97"/>
      <c r="AB37" s="97"/>
      <c r="AC37" s="97"/>
      <c r="AD37" s="97"/>
      <c r="AE37" s="97"/>
      <c r="AF37" s="97"/>
      <c r="AG37" s="97"/>
      <c r="AH37" s="97"/>
      <c r="AI37" s="97"/>
      <c r="AJ37" s="97"/>
      <c r="AK37" s="97"/>
      <c r="AL37" s="97"/>
      <c r="AM37" s="97"/>
      <c r="AN37" s="97"/>
      <c r="AO37" s="350"/>
      <c r="AP37" s="382"/>
    </row>
    <row r="38" spans="1:42" ht="21.95" customHeight="1">
      <c r="A38" s="382"/>
      <c r="B38" s="798"/>
      <c r="C38" s="799"/>
      <c r="D38" s="799"/>
      <c r="E38" s="800"/>
      <c r="F38" s="789"/>
      <c r="G38" s="790"/>
      <c r="H38" s="791"/>
      <c r="I38" s="251"/>
      <c r="J38" s="251"/>
      <c r="K38" s="97"/>
      <c r="L38" s="789"/>
      <c r="M38" s="790"/>
      <c r="N38" s="791"/>
      <c r="O38" s="124" t="s">
        <v>185</v>
      </c>
      <c r="P38" s="251"/>
      <c r="Q38" s="251"/>
      <c r="R38" s="97"/>
      <c r="S38" s="97"/>
      <c r="T38" s="97"/>
      <c r="U38" s="97"/>
      <c r="V38" s="97"/>
      <c r="W38" s="97"/>
      <c r="X38" s="97"/>
      <c r="Y38" s="97"/>
      <c r="Z38" s="97"/>
      <c r="AA38" s="97"/>
      <c r="AB38" s="97"/>
      <c r="AC38" s="97"/>
      <c r="AD38" s="97"/>
      <c r="AE38" s="97"/>
      <c r="AF38" s="97"/>
      <c r="AG38" s="97"/>
      <c r="AH38" s="97"/>
      <c r="AI38" s="97"/>
      <c r="AJ38" s="97"/>
      <c r="AK38" s="97"/>
      <c r="AL38" s="97"/>
      <c r="AM38" s="97"/>
      <c r="AN38" s="97"/>
      <c r="AO38" s="350"/>
      <c r="AP38" s="382"/>
    </row>
    <row r="39" spans="1:42" ht="21.95" customHeight="1">
      <c r="A39" s="382"/>
      <c r="B39" s="346"/>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7"/>
      <c r="AN39" s="347"/>
      <c r="AO39" s="351"/>
      <c r="AP39" s="382"/>
    </row>
    <row r="40" spans="1:42" ht="21.95" customHeight="1">
      <c r="A40" s="382"/>
      <c r="B40" s="352" t="s">
        <v>354</v>
      </c>
      <c r="C40" s="353"/>
      <c r="D40" s="353"/>
      <c r="E40" s="353"/>
      <c r="F40" s="354"/>
      <c r="G40" s="354"/>
      <c r="H40" s="354"/>
      <c r="I40" s="354"/>
      <c r="J40" s="354"/>
      <c r="K40" s="354"/>
      <c r="L40" s="354"/>
      <c r="M40" s="354"/>
      <c r="N40" s="354"/>
      <c r="O40" s="354"/>
      <c r="P40" s="354"/>
      <c r="Q40" s="354"/>
      <c r="R40" s="354"/>
      <c r="S40" s="808" t="s">
        <v>348</v>
      </c>
      <c r="T40" s="808"/>
      <c r="U40" s="808"/>
      <c r="V40" s="808"/>
      <c r="W40" s="808"/>
      <c r="X40" s="808"/>
      <c r="Y40" s="808"/>
      <c r="Z40" s="808"/>
      <c r="AA40" s="354"/>
      <c r="AB40" s="355" t="s">
        <v>340</v>
      </c>
      <c r="AC40" s="354"/>
      <c r="AD40" s="354"/>
      <c r="AE40" s="354"/>
      <c r="AF40" s="354"/>
      <c r="AG40" s="354"/>
      <c r="AH40" s="354"/>
      <c r="AI40" s="354"/>
      <c r="AJ40" s="354"/>
      <c r="AK40" s="354"/>
      <c r="AL40" s="354"/>
      <c r="AM40" s="354"/>
      <c r="AN40" s="354"/>
      <c r="AO40" s="356"/>
      <c r="AP40" s="382"/>
    </row>
    <row r="41" spans="1:42" ht="21.95" customHeight="1">
      <c r="A41" s="382"/>
      <c r="B41" s="345"/>
      <c r="C41" s="97"/>
      <c r="D41" s="97"/>
      <c r="E41" s="97"/>
      <c r="F41" s="97"/>
      <c r="G41" s="97"/>
      <c r="H41" s="97"/>
      <c r="I41" s="97"/>
      <c r="J41" s="97"/>
      <c r="K41" s="97"/>
      <c r="L41" s="785" t="str">
        <f ca="1">IFERROR("削減効果：約　"&amp;ROUND(メイン!C72/10000,1)&amp;"　万円/年","")</f>
        <v/>
      </c>
      <c r="M41" s="785"/>
      <c r="N41" s="785"/>
      <c r="O41" s="785"/>
      <c r="P41" s="785"/>
      <c r="Q41" s="785"/>
      <c r="R41" s="785"/>
      <c r="S41" s="793"/>
      <c r="T41" s="793"/>
      <c r="U41" s="793"/>
      <c r="V41" s="793"/>
      <c r="W41" s="793"/>
      <c r="X41" s="793"/>
      <c r="Y41" s="793"/>
      <c r="Z41" s="793"/>
      <c r="AA41" s="97"/>
      <c r="AB41" s="97"/>
      <c r="AC41" s="97"/>
      <c r="AD41" s="97"/>
      <c r="AE41" s="97"/>
      <c r="AF41" s="97"/>
      <c r="AG41" s="97"/>
      <c r="AH41" s="97"/>
      <c r="AI41" s="97"/>
      <c r="AJ41" s="97"/>
      <c r="AK41" s="97"/>
      <c r="AL41" s="97"/>
      <c r="AM41" s="97"/>
      <c r="AN41" s="97"/>
      <c r="AO41" s="350"/>
      <c r="AP41" s="382"/>
    </row>
    <row r="42" spans="1:42" ht="21.95" customHeight="1">
      <c r="A42" s="382"/>
      <c r="B42" s="798" t="s">
        <v>494</v>
      </c>
      <c r="C42" s="799"/>
      <c r="D42" s="799"/>
      <c r="E42" s="800"/>
      <c r="F42" s="786">
        <f ca="1">メイン!C70</f>
        <v>0</v>
      </c>
      <c r="G42" s="787"/>
      <c r="H42" s="788"/>
      <c r="I42" s="251"/>
      <c r="J42" s="251"/>
      <c r="K42" s="97"/>
      <c r="L42" s="786">
        <f ca="1">メイン!C69*100</f>
        <v>0</v>
      </c>
      <c r="M42" s="787"/>
      <c r="N42" s="788"/>
      <c r="O42" s="251"/>
      <c r="P42" s="251"/>
      <c r="Q42" s="251"/>
      <c r="R42" s="99"/>
      <c r="S42" s="97"/>
      <c r="T42" s="97"/>
      <c r="U42" s="97"/>
      <c r="V42" s="97"/>
      <c r="W42" s="97"/>
      <c r="X42" s="97"/>
      <c r="Y42" s="97"/>
      <c r="Z42" s="97"/>
      <c r="AA42" s="97"/>
      <c r="AB42" s="97"/>
      <c r="AC42" s="97"/>
      <c r="AD42" s="97"/>
      <c r="AE42" s="97"/>
      <c r="AF42" s="97"/>
      <c r="AG42" s="97"/>
      <c r="AH42" s="97"/>
      <c r="AI42" s="97"/>
      <c r="AJ42" s="97"/>
      <c r="AK42" s="97"/>
      <c r="AL42" s="97"/>
      <c r="AM42" s="97"/>
      <c r="AN42" s="97"/>
      <c r="AO42" s="350"/>
      <c r="AP42" s="382"/>
    </row>
    <row r="43" spans="1:42" ht="21.95" customHeight="1">
      <c r="A43" s="382"/>
      <c r="B43" s="798"/>
      <c r="C43" s="799"/>
      <c r="D43" s="799"/>
      <c r="E43" s="800"/>
      <c r="F43" s="789"/>
      <c r="G43" s="790"/>
      <c r="H43" s="791"/>
      <c r="I43" s="251"/>
      <c r="J43" s="251"/>
      <c r="K43" s="97"/>
      <c r="L43" s="789"/>
      <c r="M43" s="790"/>
      <c r="N43" s="791"/>
      <c r="O43" s="124" t="s">
        <v>185</v>
      </c>
      <c r="P43" s="251"/>
      <c r="Q43" s="251"/>
      <c r="R43" s="97"/>
      <c r="S43" s="97"/>
      <c r="T43" s="97"/>
      <c r="U43" s="97"/>
      <c r="V43" s="97"/>
      <c r="W43" s="97"/>
      <c r="X43" s="97"/>
      <c r="Y43" s="97"/>
      <c r="Z43" s="97"/>
      <c r="AA43" s="97"/>
      <c r="AB43" s="97"/>
      <c r="AC43" s="97"/>
      <c r="AD43" s="97"/>
      <c r="AE43" s="97"/>
      <c r="AF43" s="97"/>
      <c r="AG43" s="97"/>
      <c r="AH43" s="97"/>
      <c r="AI43" s="97"/>
      <c r="AJ43" s="97"/>
      <c r="AK43" s="97"/>
      <c r="AL43" s="97"/>
      <c r="AM43" s="97"/>
      <c r="AN43" s="97"/>
      <c r="AO43" s="350"/>
      <c r="AP43" s="382"/>
    </row>
    <row r="44" spans="1:42" ht="21.95" customHeight="1">
      <c r="A44" s="382"/>
      <c r="B44" s="346"/>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51"/>
      <c r="AP44" s="382"/>
    </row>
    <row r="45" spans="1:42" ht="21.95" customHeight="1">
      <c r="A45" s="382"/>
      <c r="B45" s="352" t="s">
        <v>355</v>
      </c>
      <c r="C45" s="353"/>
      <c r="D45" s="353"/>
      <c r="E45" s="353"/>
      <c r="F45" s="354"/>
      <c r="G45" s="354"/>
      <c r="H45" s="354"/>
      <c r="I45" s="354"/>
      <c r="J45" s="354"/>
      <c r="K45" s="354"/>
      <c r="L45" s="354"/>
      <c r="M45" s="354"/>
      <c r="N45" s="354"/>
      <c r="O45" s="354"/>
      <c r="P45" s="354"/>
      <c r="Q45" s="354"/>
      <c r="R45" s="354"/>
      <c r="S45" s="808" t="s">
        <v>348</v>
      </c>
      <c r="T45" s="808"/>
      <c r="U45" s="808"/>
      <c r="V45" s="808"/>
      <c r="W45" s="808"/>
      <c r="X45" s="808"/>
      <c r="Y45" s="808"/>
      <c r="Z45" s="808"/>
      <c r="AA45" s="354"/>
      <c r="AB45" s="355" t="s">
        <v>340</v>
      </c>
      <c r="AC45" s="354"/>
      <c r="AD45" s="354"/>
      <c r="AE45" s="354"/>
      <c r="AF45" s="354"/>
      <c r="AG45" s="354"/>
      <c r="AH45" s="354"/>
      <c r="AI45" s="354"/>
      <c r="AJ45" s="354"/>
      <c r="AK45" s="354"/>
      <c r="AL45" s="354"/>
      <c r="AM45" s="354"/>
      <c r="AN45" s="354"/>
      <c r="AO45" s="356"/>
      <c r="AP45" s="382"/>
    </row>
    <row r="46" spans="1:42" ht="21.95" customHeight="1">
      <c r="A46" s="382"/>
      <c r="B46" s="345"/>
      <c r="C46" s="97"/>
      <c r="D46" s="97"/>
      <c r="E46" s="97"/>
      <c r="F46" s="97"/>
      <c r="G46" s="97"/>
      <c r="H46" s="97"/>
      <c r="I46" s="97"/>
      <c r="J46" s="97"/>
      <c r="K46" s="97"/>
      <c r="L46" s="785" t="str">
        <f ca="1">IFERROR("削減効果：約　"&amp;ROUND(メイン!B78/10000,1)&amp;"　万円/年","")</f>
        <v/>
      </c>
      <c r="M46" s="785"/>
      <c r="N46" s="785"/>
      <c r="O46" s="785"/>
      <c r="P46" s="785"/>
      <c r="Q46" s="785"/>
      <c r="R46" s="785"/>
      <c r="S46" s="793"/>
      <c r="T46" s="793"/>
      <c r="U46" s="793"/>
      <c r="V46" s="793"/>
      <c r="W46" s="793"/>
      <c r="X46" s="793"/>
      <c r="Y46" s="793"/>
      <c r="Z46" s="793"/>
      <c r="AA46" s="97"/>
      <c r="AB46" s="97"/>
      <c r="AC46" s="97"/>
      <c r="AD46" s="97"/>
      <c r="AE46" s="97"/>
      <c r="AF46" s="97"/>
      <c r="AG46" s="97"/>
      <c r="AH46" s="97"/>
      <c r="AI46" s="97"/>
      <c r="AJ46" s="97"/>
      <c r="AK46" s="97"/>
      <c r="AL46" s="97"/>
      <c r="AM46" s="97"/>
      <c r="AN46" s="97"/>
      <c r="AO46" s="350"/>
      <c r="AP46" s="382"/>
    </row>
    <row r="47" spans="1:42" ht="21.95" customHeight="1">
      <c r="A47" s="382"/>
      <c r="B47" s="798" t="s">
        <v>494</v>
      </c>
      <c r="C47" s="799"/>
      <c r="D47" s="799"/>
      <c r="E47" s="800"/>
      <c r="F47" s="786">
        <f ca="1">メイン!C76</f>
        <v>0</v>
      </c>
      <c r="G47" s="787"/>
      <c r="H47" s="788"/>
      <c r="I47" s="251"/>
      <c r="J47" s="251"/>
      <c r="K47" s="97"/>
      <c r="L47" s="786">
        <f ca="1">メイン!C75*100</f>
        <v>0</v>
      </c>
      <c r="M47" s="787"/>
      <c r="N47" s="788"/>
      <c r="O47" s="251"/>
      <c r="P47" s="251"/>
      <c r="Q47" s="251"/>
      <c r="R47" s="99"/>
      <c r="S47" s="97"/>
      <c r="T47" s="97"/>
      <c r="U47" s="97"/>
      <c r="V47" s="123"/>
      <c r="W47" s="124"/>
      <c r="X47" s="124"/>
      <c r="Y47" s="124"/>
      <c r="Z47" s="122"/>
      <c r="AA47" s="122"/>
      <c r="AB47" s="122"/>
      <c r="AC47" s="122"/>
      <c r="AD47" s="97"/>
      <c r="AE47" s="97"/>
      <c r="AF47" s="97"/>
      <c r="AG47" s="122"/>
      <c r="AH47" s="122"/>
      <c r="AI47" s="122"/>
      <c r="AJ47" s="122"/>
      <c r="AK47" s="99"/>
      <c r="AL47" s="97"/>
      <c r="AM47" s="97"/>
      <c r="AN47" s="97"/>
      <c r="AO47" s="350"/>
      <c r="AP47" s="382"/>
    </row>
    <row r="48" spans="1:42" ht="21.95" customHeight="1">
      <c r="A48" s="382"/>
      <c r="B48" s="798"/>
      <c r="C48" s="799"/>
      <c r="D48" s="799"/>
      <c r="E48" s="800"/>
      <c r="F48" s="789"/>
      <c r="G48" s="790"/>
      <c r="H48" s="791"/>
      <c r="I48" s="251"/>
      <c r="J48" s="251"/>
      <c r="K48" s="97"/>
      <c r="L48" s="789"/>
      <c r="M48" s="790"/>
      <c r="N48" s="791"/>
      <c r="O48" s="124" t="s">
        <v>185</v>
      </c>
      <c r="P48" s="251"/>
      <c r="Q48" s="251"/>
      <c r="R48" s="97"/>
      <c r="S48" s="97"/>
      <c r="T48" s="97"/>
      <c r="U48" s="97"/>
      <c r="V48" s="124"/>
      <c r="W48" s="124"/>
      <c r="X48" s="124"/>
      <c r="Y48" s="124"/>
      <c r="Z48" s="122"/>
      <c r="AA48" s="122"/>
      <c r="AB48" s="122"/>
      <c r="AC48" s="122"/>
      <c r="AD48" s="97"/>
      <c r="AE48" s="97"/>
      <c r="AF48" s="97"/>
      <c r="AG48" s="122"/>
      <c r="AH48" s="122"/>
      <c r="AI48" s="122"/>
      <c r="AJ48" s="122"/>
      <c r="AK48" s="124"/>
      <c r="AL48" s="97"/>
      <c r="AM48" s="97"/>
      <c r="AN48" s="97"/>
      <c r="AO48" s="350"/>
      <c r="AP48" s="382"/>
    </row>
    <row r="49" spans="1:42" ht="21.95" customHeight="1">
      <c r="A49" s="382"/>
      <c r="B49" s="346"/>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7"/>
      <c r="AK49" s="347"/>
      <c r="AL49" s="347"/>
      <c r="AM49" s="347"/>
      <c r="AN49" s="347"/>
      <c r="AO49" s="351"/>
      <c r="AP49" s="382"/>
    </row>
    <row r="50" spans="1:42" ht="21.95" customHeight="1">
      <c r="A50" s="382"/>
      <c r="B50" s="352" t="s">
        <v>356</v>
      </c>
      <c r="C50" s="353"/>
      <c r="D50" s="353"/>
      <c r="E50" s="353"/>
      <c r="F50" s="354"/>
      <c r="G50" s="354"/>
      <c r="H50" s="354"/>
      <c r="I50" s="354"/>
      <c r="J50" s="354"/>
      <c r="K50" s="354"/>
      <c r="L50" s="354"/>
      <c r="M50" s="354"/>
      <c r="N50" s="354"/>
      <c r="O50" s="354"/>
      <c r="P50" s="354"/>
      <c r="Q50" s="354"/>
      <c r="R50" s="354"/>
      <c r="S50" s="808" t="s">
        <v>348</v>
      </c>
      <c r="T50" s="808"/>
      <c r="U50" s="808"/>
      <c r="V50" s="808"/>
      <c r="W50" s="808"/>
      <c r="X50" s="808"/>
      <c r="Y50" s="808"/>
      <c r="Z50" s="808"/>
      <c r="AA50" s="354"/>
      <c r="AB50" s="355" t="s">
        <v>340</v>
      </c>
      <c r="AC50" s="354"/>
      <c r="AD50" s="354"/>
      <c r="AE50" s="354"/>
      <c r="AF50" s="354"/>
      <c r="AG50" s="354"/>
      <c r="AH50" s="354"/>
      <c r="AI50" s="354"/>
      <c r="AJ50" s="354"/>
      <c r="AK50" s="354"/>
      <c r="AL50" s="354"/>
      <c r="AM50" s="354"/>
      <c r="AN50" s="354"/>
      <c r="AO50" s="356"/>
      <c r="AP50" s="382"/>
    </row>
    <row r="51" spans="1:42" ht="21.95" customHeight="1">
      <c r="A51" s="382"/>
      <c r="B51" s="345"/>
      <c r="C51" s="97"/>
      <c r="D51" s="97"/>
      <c r="E51" s="97"/>
      <c r="F51" s="97"/>
      <c r="G51" s="97"/>
      <c r="H51" s="97"/>
      <c r="I51" s="97"/>
      <c r="J51" s="97"/>
      <c r="K51" s="97"/>
      <c r="L51" s="785" t="str">
        <f ca="1">IFERROR("削減効果：約　"&amp;ROUND(メイン!C86/10000,1)&amp;"　万円/年","")</f>
        <v/>
      </c>
      <c r="M51" s="785"/>
      <c r="N51" s="785"/>
      <c r="O51" s="785"/>
      <c r="P51" s="785"/>
      <c r="Q51" s="785"/>
      <c r="R51" s="785"/>
      <c r="S51" s="793"/>
      <c r="T51" s="793"/>
      <c r="U51" s="793"/>
      <c r="V51" s="793"/>
      <c r="W51" s="793"/>
      <c r="X51" s="793"/>
      <c r="Y51" s="793"/>
      <c r="Z51" s="793"/>
      <c r="AA51" s="97"/>
      <c r="AB51" s="97"/>
      <c r="AC51" s="97"/>
      <c r="AD51" s="97"/>
      <c r="AE51" s="97"/>
      <c r="AF51" s="97"/>
      <c r="AG51" s="97"/>
      <c r="AH51" s="97"/>
      <c r="AI51" s="97"/>
      <c r="AJ51" s="97"/>
      <c r="AK51" s="97"/>
      <c r="AL51" s="97"/>
      <c r="AM51" s="97"/>
      <c r="AN51" s="97"/>
      <c r="AO51" s="350"/>
      <c r="AP51" s="382"/>
    </row>
    <row r="52" spans="1:42" ht="21.95" customHeight="1">
      <c r="A52" s="382"/>
      <c r="B52" s="798" t="s">
        <v>494</v>
      </c>
      <c r="C52" s="799"/>
      <c r="D52" s="799"/>
      <c r="E52" s="800"/>
      <c r="F52" s="786">
        <f ca="1">メイン!C84</f>
        <v>0</v>
      </c>
      <c r="G52" s="787"/>
      <c r="H52" s="788"/>
      <c r="I52" s="251"/>
      <c r="J52" s="251"/>
      <c r="K52" s="97"/>
      <c r="L52" s="786">
        <f ca="1">メイン!C83*100</f>
        <v>0</v>
      </c>
      <c r="M52" s="787"/>
      <c r="N52" s="788"/>
      <c r="O52" s="251"/>
      <c r="P52" s="251"/>
      <c r="Q52" s="251"/>
      <c r="R52" s="99"/>
      <c r="S52" s="97"/>
      <c r="T52" s="97"/>
      <c r="U52" s="97"/>
      <c r="V52" s="97"/>
      <c r="W52" s="97"/>
      <c r="X52" s="97"/>
      <c r="Y52" s="97"/>
      <c r="Z52" s="97"/>
      <c r="AA52" s="97"/>
      <c r="AB52" s="97"/>
      <c r="AC52" s="97"/>
      <c r="AD52" s="97"/>
      <c r="AE52" s="97"/>
      <c r="AF52" s="97"/>
      <c r="AG52" s="97"/>
      <c r="AH52" s="97"/>
      <c r="AI52" s="97"/>
      <c r="AJ52" s="97"/>
      <c r="AK52" s="97"/>
      <c r="AL52" s="97"/>
      <c r="AM52" s="97"/>
      <c r="AN52" s="97"/>
      <c r="AO52" s="350"/>
      <c r="AP52" s="382"/>
    </row>
    <row r="53" spans="1:42" ht="21.95" customHeight="1">
      <c r="A53" s="382"/>
      <c r="B53" s="798"/>
      <c r="C53" s="799"/>
      <c r="D53" s="799"/>
      <c r="E53" s="800"/>
      <c r="F53" s="789"/>
      <c r="G53" s="790"/>
      <c r="H53" s="791"/>
      <c r="I53" s="251"/>
      <c r="J53" s="251"/>
      <c r="K53" s="97"/>
      <c r="L53" s="789"/>
      <c r="M53" s="790"/>
      <c r="N53" s="791"/>
      <c r="O53" s="124" t="s">
        <v>185</v>
      </c>
      <c r="P53" s="251"/>
      <c r="Q53" s="251"/>
      <c r="R53" s="97"/>
      <c r="S53" s="97"/>
      <c r="T53" s="97"/>
      <c r="U53" s="97"/>
      <c r="V53" s="97"/>
      <c r="W53" s="97"/>
      <c r="X53" s="97"/>
      <c r="Y53" s="97"/>
      <c r="Z53" s="97"/>
      <c r="AA53" s="97"/>
      <c r="AB53" s="97"/>
      <c r="AC53" s="97"/>
      <c r="AD53" s="97"/>
      <c r="AE53" s="97"/>
      <c r="AF53" s="97"/>
      <c r="AG53" s="97"/>
      <c r="AH53" s="97"/>
      <c r="AI53" s="97"/>
      <c r="AJ53" s="97"/>
      <c r="AK53" s="97"/>
      <c r="AL53" s="97"/>
      <c r="AM53" s="97"/>
      <c r="AN53" s="97"/>
      <c r="AO53" s="350"/>
      <c r="AP53" s="382"/>
    </row>
    <row r="54" spans="1:42" ht="21.95" customHeight="1">
      <c r="A54" s="382"/>
      <c r="B54" s="346"/>
      <c r="C54" s="347"/>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K54" s="347"/>
      <c r="AL54" s="347"/>
      <c r="AM54" s="347"/>
      <c r="AN54" s="347"/>
      <c r="AO54" s="351"/>
      <c r="AP54" s="382"/>
    </row>
    <row r="55" spans="1:42" ht="23.25" customHeight="1">
      <c r="A55" s="382"/>
      <c r="B55" s="449" t="s">
        <v>619</v>
      </c>
      <c r="C55" s="382"/>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row>
    <row r="56" spans="1:42" ht="21.95" customHeight="1">
      <c r="A56" s="381" t="s">
        <v>126</v>
      </c>
      <c r="B56" s="382"/>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1" t="s">
        <v>126</v>
      </c>
    </row>
    <row r="57" spans="1:42" ht="21.95" hidden="1" customHeight="1">
      <c r="A57" s="97"/>
      <c r="B57" s="382"/>
      <c r="C57" s="382"/>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97"/>
    </row>
    <row r="58" spans="1:42" ht="21.95" hidden="1" customHeight="1"/>
    <row r="59" spans="1:42" ht="21.95" hidden="1" customHeight="1"/>
    <row r="60" spans="1:42" ht="21.95" hidden="1" customHeight="1"/>
    <row r="61" spans="1:42" ht="21.95" hidden="1" customHeight="1"/>
    <row r="62" spans="1:42" ht="21.95" hidden="1" customHeight="1"/>
    <row r="63" spans="1:42" ht="21.95" hidden="1" customHeight="1"/>
  </sheetData>
  <sheetProtection password="C0C9" sheet="1" objects="1" scenarios="1" selectLockedCells="1" selectUnlockedCells="1"/>
  <mergeCells count="56">
    <mergeCell ref="B14:D16"/>
    <mergeCell ref="E14:G16"/>
    <mergeCell ref="H14:H16"/>
    <mergeCell ref="I14:K16"/>
    <mergeCell ref="N14:Q16"/>
    <mergeCell ref="L14:M16"/>
    <mergeCell ref="F22:H23"/>
    <mergeCell ref="L22:N23"/>
    <mergeCell ref="F27:H28"/>
    <mergeCell ref="AB8:AO8"/>
    <mergeCell ref="X16:Z16"/>
    <mergeCell ref="T14:W16"/>
    <mergeCell ref="N13:Q13"/>
    <mergeCell ref="S45:Z46"/>
    <mergeCell ref="S50:Z51"/>
    <mergeCell ref="T17:W17"/>
    <mergeCell ref="S20:Z21"/>
    <mergeCell ref="S25:Z26"/>
    <mergeCell ref="S30:Z31"/>
    <mergeCell ref="S35:Z36"/>
    <mergeCell ref="S40:Z41"/>
    <mergeCell ref="F52:H53"/>
    <mergeCell ref="B32:E33"/>
    <mergeCell ref="B37:E38"/>
    <mergeCell ref="B42:E43"/>
    <mergeCell ref="B47:E48"/>
    <mergeCell ref="B52:E53"/>
    <mergeCell ref="F32:H33"/>
    <mergeCell ref="F37:H38"/>
    <mergeCell ref="F42:H43"/>
    <mergeCell ref="F47:H48"/>
    <mergeCell ref="L42:N43"/>
    <mergeCell ref="L47:N48"/>
    <mergeCell ref="L52:N53"/>
    <mergeCell ref="L32:N33"/>
    <mergeCell ref="L37:N38"/>
    <mergeCell ref="L36:R36"/>
    <mergeCell ref="L41:R41"/>
    <mergeCell ref="L46:R46"/>
    <mergeCell ref="L51:R51"/>
    <mergeCell ref="B2:AA5"/>
    <mergeCell ref="AB2:AO5"/>
    <mergeCell ref="L21:R21"/>
    <mergeCell ref="L26:R26"/>
    <mergeCell ref="L31:R31"/>
    <mergeCell ref="L27:N28"/>
    <mergeCell ref="B12:E12"/>
    <mergeCell ref="B8:G8"/>
    <mergeCell ref="B9:G9"/>
    <mergeCell ref="B22:E23"/>
    <mergeCell ref="B27:E28"/>
    <mergeCell ref="H8:Z8"/>
    <mergeCell ref="H9:Z9"/>
    <mergeCell ref="I13:K13"/>
    <mergeCell ref="E13:G13"/>
    <mergeCell ref="B17:R17"/>
  </mergeCells>
  <phoneticPr fontId="4"/>
  <printOptions horizontalCentered="1" verticalCentered="1"/>
  <pageMargins left="0.31496062992125984" right="0.31496062992125984" top="0.35433070866141736" bottom="0.35433070866141736"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10" workbookViewId="0">
      <selection activeCell="F36" sqref="F36"/>
    </sheetView>
  </sheetViews>
  <sheetFormatPr defaultRowHeight="18.75"/>
  <cols>
    <col min="4" max="4" width="10.75" customWidth="1"/>
    <col min="11" max="11" width="9.5" bestFit="1" customWidth="1"/>
    <col min="13" max="13" width="16.375" customWidth="1"/>
    <col min="14" max="14" width="10.5" bestFit="1" customWidth="1"/>
  </cols>
  <sheetData>
    <row r="1" spans="1:2">
      <c r="A1" t="s">
        <v>601</v>
      </c>
    </row>
    <row r="3" spans="1:2">
      <c r="B3" t="s">
        <v>559</v>
      </c>
    </row>
    <row r="4" spans="1:2">
      <c r="B4" t="s">
        <v>560</v>
      </c>
    </row>
    <row r="5" spans="1:2">
      <c r="B5" t="s">
        <v>561</v>
      </c>
    </row>
    <row r="6" spans="1:2">
      <c r="B6" t="s">
        <v>562</v>
      </c>
    </row>
    <row r="7" spans="1:2">
      <c r="B7" t="s">
        <v>563</v>
      </c>
    </row>
    <row r="8" spans="1:2">
      <c r="B8" t="s">
        <v>564</v>
      </c>
    </row>
    <row r="9" spans="1:2">
      <c r="B9" t="s">
        <v>565</v>
      </c>
    </row>
    <row r="10" spans="1:2">
      <c r="B10" t="s">
        <v>566</v>
      </c>
    </row>
    <row r="12" spans="1:2">
      <c r="B12" t="s">
        <v>567</v>
      </c>
    </row>
    <row r="13" spans="1:2">
      <c r="B13" t="s">
        <v>568</v>
      </c>
    </row>
    <row r="14" spans="1:2">
      <c r="B14" t="s">
        <v>569</v>
      </c>
    </row>
    <row r="15" spans="1:2">
      <c r="B15" t="s">
        <v>570</v>
      </c>
    </row>
    <row r="16" spans="1:2">
      <c r="B16" t="s">
        <v>571</v>
      </c>
    </row>
    <row r="17" spans="2:17">
      <c r="B17" t="s">
        <v>591</v>
      </c>
    </row>
    <row r="18" spans="2:17">
      <c r="B18" t="s">
        <v>572</v>
      </c>
    </row>
    <row r="19" spans="2:17">
      <c r="B19" t="s">
        <v>573</v>
      </c>
    </row>
    <row r="20" spans="2:17">
      <c r="B20" t="s">
        <v>574</v>
      </c>
    </row>
    <row r="21" spans="2:17">
      <c r="B21" t="s">
        <v>575</v>
      </c>
    </row>
    <row r="22" spans="2:17">
      <c r="J22" s="445"/>
      <c r="K22" s="445"/>
      <c r="L22" s="445"/>
      <c r="M22" s="445"/>
      <c r="N22" s="445"/>
      <c r="O22" s="445"/>
      <c r="P22" s="445"/>
      <c r="Q22" s="445"/>
    </row>
    <row r="23" spans="2:17">
      <c r="B23" t="s">
        <v>593</v>
      </c>
      <c r="I23" s="445"/>
      <c r="J23" s="445"/>
      <c r="K23" s="445"/>
      <c r="L23" s="445"/>
      <c r="M23" s="445"/>
      <c r="N23" s="445"/>
      <c r="O23" s="445"/>
      <c r="P23" s="445"/>
      <c r="Q23" s="445"/>
    </row>
    <row r="24" spans="2:17">
      <c r="B24" s="4" t="s">
        <v>578</v>
      </c>
      <c r="C24" s="431" t="s">
        <v>584</v>
      </c>
      <c r="D24" s="432"/>
      <c r="E24" s="432"/>
      <c r="F24" s="433"/>
      <c r="G24" s="19" t="s">
        <v>585</v>
      </c>
      <c r="H24" s="4" t="s">
        <v>587</v>
      </c>
      <c r="I24" s="4"/>
      <c r="J24" s="4" t="s">
        <v>586</v>
      </c>
      <c r="M24" s="275" t="s">
        <v>604</v>
      </c>
      <c r="N24" s="4">
        <f>SUM(K25:K31)</f>
        <v>78.900000000000006</v>
      </c>
      <c r="O24" s="4" t="s">
        <v>626</v>
      </c>
    </row>
    <row r="25" spans="2:17">
      <c r="B25" s="430" t="s">
        <v>579</v>
      </c>
      <c r="C25" s="431" t="s">
        <v>582</v>
      </c>
      <c r="D25" s="432"/>
      <c r="E25" s="432"/>
      <c r="F25" s="433"/>
      <c r="G25" s="4">
        <v>78.900000000000006</v>
      </c>
      <c r="H25" s="4">
        <v>1000</v>
      </c>
      <c r="I25" s="4">
        <v>3000</v>
      </c>
      <c r="J25" s="4" t="str">
        <f>IF(AND(用途="事務所",ベンチマーク比較!$H$9&lt;3000),"○","")</f>
        <v>○</v>
      </c>
      <c r="K25">
        <f>IF(J25&lt;&gt;"",G25,"")</f>
        <v>78.900000000000006</v>
      </c>
      <c r="M25" s="275" t="s">
        <v>606</v>
      </c>
      <c r="N25" s="4" t="str">
        <f>IFERROR(ROUND(ベンチマーク比較!Y10/ベンチマーク比較!H9*1000,1),"")</f>
        <v/>
      </c>
      <c r="O25" s="4" t="s">
        <v>626</v>
      </c>
    </row>
    <row r="26" spans="2:17">
      <c r="B26" s="4" t="s">
        <v>580</v>
      </c>
      <c r="C26" s="431" t="s">
        <v>582</v>
      </c>
      <c r="D26" s="432"/>
      <c r="E26" s="432"/>
      <c r="F26" s="433"/>
      <c r="G26" s="4">
        <v>75.5</v>
      </c>
      <c r="H26" s="4">
        <v>3000</v>
      </c>
      <c r="I26" s="4">
        <v>10000</v>
      </c>
      <c r="J26" s="4" t="str">
        <f>IF(AND(用途="事務所",ベンチマーク比較!$H$9&gt;=3000,ベンチマーク比較!$H$9&lt;10000),"○","")</f>
        <v/>
      </c>
      <c r="K26" t="str">
        <f t="shared" ref="K26:K31" si="0">IF(J26&lt;&gt;"",G26,"")</f>
        <v/>
      </c>
      <c r="M26" s="275" t="s">
        <v>631</v>
      </c>
      <c r="N26" s="451" t="e">
        <f>N25-N24</f>
        <v>#VALUE!</v>
      </c>
      <c r="O26" s="4" t="s">
        <v>626</v>
      </c>
    </row>
    <row r="27" spans="2:17">
      <c r="B27" s="4" t="s">
        <v>581</v>
      </c>
      <c r="C27" s="431" t="s">
        <v>583</v>
      </c>
      <c r="D27" s="432"/>
      <c r="E27" s="432"/>
      <c r="F27" s="433"/>
      <c r="G27" s="4">
        <v>75.099999999999994</v>
      </c>
      <c r="H27" s="4">
        <v>10000</v>
      </c>
      <c r="I27" s="4">
        <v>20000</v>
      </c>
      <c r="J27" s="4" t="str">
        <f>IF(AND(用途="事務所",ベンチマーク比較!$H$9&gt;=10000),"○","")</f>
        <v/>
      </c>
      <c r="K27" t="str">
        <f t="shared" si="0"/>
        <v/>
      </c>
      <c r="M27" s="453" t="s">
        <v>629</v>
      </c>
      <c r="N27" s="4" t="str">
        <f>IF(ISNUMBER(ベンチマーク比較!H9),ベンチマーク比較!H9,"")</f>
        <v/>
      </c>
      <c r="O27" s="4" t="s">
        <v>630</v>
      </c>
    </row>
    <row r="28" spans="2:17">
      <c r="B28" s="446" t="s">
        <v>607</v>
      </c>
      <c r="C28" s="431" t="s">
        <v>611</v>
      </c>
      <c r="D28" s="432"/>
      <c r="E28" s="432"/>
      <c r="F28" s="433"/>
      <c r="G28" s="4">
        <v>259.7</v>
      </c>
      <c r="H28" s="447"/>
      <c r="I28" s="447"/>
      <c r="J28" s="4" t="str">
        <f>IF(COUNTIF(用途,"商業*")&gt;0,"○","")</f>
        <v/>
      </c>
      <c r="K28" t="str">
        <f t="shared" si="0"/>
        <v/>
      </c>
      <c r="M28" s="452" t="s">
        <v>623</v>
      </c>
      <c r="N28" s="4" t="e">
        <f>N26*N27/1000</f>
        <v>#VALUE!</v>
      </c>
      <c r="O28" s="4" t="s">
        <v>627</v>
      </c>
    </row>
    <row r="29" spans="2:17">
      <c r="B29" s="446" t="s">
        <v>608</v>
      </c>
      <c r="C29" s="431" t="s">
        <v>612</v>
      </c>
      <c r="D29" s="432"/>
      <c r="E29" s="432"/>
      <c r="F29" s="433"/>
      <c r="G29" s="4">
        <v>125.2</v>
      </c>
      <c r="H29" s="447"/>
      <c r="I29" s="447"/>
      <c r="J29" s="4" t="str">
        <f>IF(COUNTIF(用途,"ホテル*")&gt;0,"○","")</f>
        <v/>
      </c>
      <c r="K29" t="str">
        <f t="shared" si="0"/>
        <v/>
      </c>
      <c r="M29" s="453" t="s">
        <v>645</v>
      </c>
      <c r="N29" s="75" t="e">
        <f>N28/エネルギー単価!B4*1000</f>
        <v>#VALUE!</v>
      </c>
      <c r="O29" s="70" t="s">
        <v>646</v>
      </c>
    </row>
    <row r="30" spans="2:17">
      <c r="B30" s="446" t="s">
        <v>609</v>
      </c>
      <c r="C30" s="431" t="s">
        <v>613</v>
      </c>
      <c r="D30" s="432"/>
      <c r="E30" s="432"/>
      <c r="F30" s="433"/>
      <c r="G30" s="4">
        <v>23.4</v>
      </c>
      <c r="H30" s="447"/>
      <c r="I30" s="447"/>
      <c r="J30" s="4" t="str">
        <f>IF(COUNTIF(用途,"学校*")&gt;0,"○","")</f>
        <v/>
      </c>
      <c r="K30" t="str">
        <f t="shared" si="0"/>
        <v/>
      </c>
      <c r="M30" s="453" t="s">
        <v>648</v>
      </c>
      <c r="N30" s="75" t="e">
        <f>N29*I42</f>
        <v>#VALUE!</v>
      </c>
      <c r="O30" s="70" t="s">
        <v>647</v>
      </c>
    </row>
    <row r="31" spans="2:17">
      <c r="B31" s="446" t="s">
        <v>610</v>
      </c>
      <c r="C31" s="431" t="s">
        <v>614</v>
      </c>
      <c r="D31" s="432"/>
      <c r="E31" s="432"/>
      <c r="F31" s="433"/>
      <c r="G31" s="4">
        <v>106</v>
      </c>
      <c r="H31" s="447"/>
      <c r="I31" s="447"/>
      <c r="J31" s="4" t="str">
        <f>IF(COUNTIF(用途,"病院*")&gt;0,"○","")</f>
        <v/>
      </c>
      <c r="K31" t="str">
        <f t="shared" si="0"/>
        <v/>
      </c>
      <c r="M31" s="453" t="s">
        <v>649</v>
      </c>
      <c r="N31" s="75" t="e">
        <f>N29*I41</f>
        <v>#VALUE!</v>
      </c>
      <c r="O31" s="70" t="s">
        <v>647</v>
      </c>
    </row>
    <row r="33" spans="2:9">
      <c r="B33" t="s">
        <v>594</v>
      </c>
    </row>
    <row r="34" spans="2:9">
      <c r="B34" t="s">
        <v>588</v>
      </c>
      <c r="D34" t="s">
        <v>588</v>
      </c>
      <c r="E34" t="s">
        <v>707</v>
      </c>
    </row>
    <row r="35" spans="2:9">
      <c r="B35" t="s">
        <v>589</v>
      </c>
      <c r="D35" t="s">
        <v>589</v>
      </c>
      <c r="E35" t="s">
        <v>708</v>
      </c>
    </row>
    <row r="36" spans="2:9">
      <c r="B36" t="s">
        <v>710</v>
      </c>
      <c r="D36" t="s">
        <v>590</v>
      </c>
      <c r="E36" t="s">
        <v>735</v>
      </c>
    </row>
    <row r="38" spans="2:9">
      <c r="B38" t="e">
        <f>IF(N25&gt;0,IF(N26&gt;=1,E34,IF(N26&lt;=-1,E36,IF(ABS(N26)&lt;1,E35,""))),"")</f>
        <v>#VALUE!</v>
      </c>
    </row>
    <row r="40" spans="2:9">
      <c r="B40" t="s">
        <v>595</v>
      </c>
      <c r="G40" s="843" t="s">
        <v>628</v>
      </c>
      <c r="H40" s="843"/>
      <c r="I40" s="78" t="e">
        <f>メイン!F9</f>
        <v>#N/A</v>
      </c>
    </row>
    <row r="41" spans="2:9">
      <c r="B41" s="845" t="s">
        <v>621</v>
      </c>
      <c r="C41" s="846"/>
      <c r="D41" s="844" t="str">
        <f>IF(ISNUMBER(ベンチマーク比較!Y7),ベンチマーク比較!Y7,"")</f>
        <v/>
      </c>
      <c r="E41" s="844"/>
      <c r="G41" s="843" t="s">
        <v>644</v>
      </c>
      <c r="H41" s="843"/>
      <c r="I41" s="4">
        <f>エネルギー単価!C8</f>
        <v>17.22</v>
      </c>
    </row>
    <row r="42" spans="2:9">
      <c r="B42" s="845" t="s">
        <v>622</v>
      </c>
      <c r="C42" s="846"/>
      <c r="D42" s="844" t="str">
        <f>IF(ISNUMBER(ベンチマーク比較!Y6),ベンチマーク比較!Y6,"")</f>
        <v/>
      </c>
      <c r="E42" s="844"/>
      <c r="G42" s="843" t="s">
        <v>624</v>
      </c>
      <c r="H42" s="843"/>
      <c r="I42" s="465" t="e">
        <f>D41/D42</f>
        <v>#VALUE!</v>
      </c>
    </row>
    <row r="44" spans="2:9">
      <c r="B44" s="4" t="s">
        <v>632</v>
      </c>
      <c r="C44" s="454" t="e">
        <f>ROUND(N26*ベンチマーク比較!H9*メイン!F9/1000,-3)</f>
        <v>#VALUE!</v>
      </c>
      <c r="D44" t="s">
        <v>650</v>
      </c>
    </row>
    <row r="45" spans="2:9">
      <c r="B45" s="4" t="s">
        <v>633</v>
      </c>
      <c r="C45" s="454" t="e">
        <f>ROUND(I42*N28/エネルギー単価!B4*1000,-3)</f>
        <v>#VALUE!</v>
      </c>
      <c r="D45" t="s">
        <v>625</v>
      </c>
    </row>
    <row r="46" spans="2:9">
      <c r="B46" s="4" t="s">
        <v>651</v>
      </c>
      <c r="C46" s="454" t="str">
        <f>IF(ISNUMBER(C47),IF(C47&gt;0,C47,0),C47)</f>
        <v>※延べ床面積と電気使用量、年間電気使用料金を入力してください。</v>
      </c>
    </row>
    <row r="47" spans="2:9">
      <c r="B47" s="4"/>
      <c r="C47" s="4" t="str">
        <f>IF(AND(ISNUMBER(D41),ISNUMBER(N27),ISNUMBER(D42)),IFERROR(C45,"※延べ床面積と電気使用量、年間電気使用料金を入力してください。"),"※延べ床面積と電気使用量、年間電気使用料金を入力してください。")</f>
        <v>※延べ床面積と電気使用量、年間電気使用料金を入力してください。</v>
      </c>
    </row>
    <row r="48" spans="2:9">
      <c r="B48" t="e">
        <f>IF(C44&gt;0,"ベンチマークの平均と比較した削減余地のコストを推計すると、約"&amp;ROUND(C46/10000,0)&amp;"万円となります。","")</f>
        <v>#VALUE!</v>
      </c>
    </row>
  </sheetData>
  <mergeCells count="7">
    <mergeCell ref="G40:H40"/>
    <mergeCell ref="D41:E41"/>
    <mergeCell ref="D42:E42"/>
    <mergeCell ref="B41:C41"/>
    <mergeCell ref="B42:C42"/>
    <mergeCell ref="G42:H42"/>
    <mergeCell ref="G41:H41"/>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F88"/>
  <sheetViews>
    <sheetView topLeftCell="G7" zoomScale="85" zoomScaleNormal="85" zoomScaleSheetLayoutView="100" workbookViewId="0">
      <selection activeCell="W29" sqref="W29:AA29"/>
    </sheetView>
  </sheetViews>
  <sheetFormatPr defaultRowHeight="18.75"/>
  <cols>
    <col min="1" max="1" width="2.125" customWidth="1"/>
    <col min="2" max="2" width="15.75" customWidth="1"/>
    <col min="3" max="3" width="18.625" customWidth="1"/>
    <col min="4" max="4" width="16" customWidth="1"/>
    <col min="5" max="5" width="35.5" customWidth="1"/>
    <col min="6" max="6" width="38.5" customWidth="1"/>
    <col min="7" max="7" width="17.5" customWidth="1"/>
    <col min="8" max="8" width="9" style="24" hidden="1" customWidth="1"/>
    <col min="9" max="9" width="10.625" customWidth="1"/>
    <col min="10" max="10" width="9.875" customWidth="1"/>
    <col min="11" max="12" width="9" customWidth="1"/>
    <col min="13" max="13" width="9.375" customWidth="1"/>
    <col min="14" max="14" width="9" hidden="1" customWidth="1"/>
    <col min="15" max="15" width="18.25" customWidth="1"/>
    <col min="16" max="16" width="18.5" customWidth="1"/>
    <col min="17" max="17" width="12.5" customWidth="1"/>
    <col min="18" max="18" width="20" customWidth="1"/>
    <col min="19" max="19" width="31.25" hidden="1" customWidth="1"/>
    <col min="20" max="20" width="11.25" hidden="1" customWidth="1"/>
    <col min="21" max="21" width="9" hidden="1" customWidth="1"/>
    <col min="23" max="23" width="13.875" customWidth="1"/>
    <col min="24" max="24" width="16" customWidth="1"/>
    <col min="25" max="25" width="12.875" customWidth="1"/>
    <col min="26" max="26" width="14.5" customWidth="1"/>
    <col min="27" max="27" width="14.125" customWidth="1"/>
  </cols>
  <sheetData>
    <row r="1" spans="3:27">
      <c r="C1" t="s">
        <v>29</v>
      </c>
      <c r="I1" s="24"/>
      <c r="J1" s="25"/>
      <c r="K1" t="s">
        <v>301</v>
      </c>
      <c r="O1" s="92" t="s">
        <v>333</v>
      </c>
      <c r="P1" s="849" t="str">
        <f ca="1">ASC(R19&amp;R20&amp;R21&amp;R22&amp;R23&amp;R24&amp;R25&amp;R26&amp;R27&amp;R28)&amp;"etc."</f>
        <v>etc.</v>
      </c>
      <c r="Q1" s="849"/>
      <c r="R1" s="849"/>
      <c r="S1" s="849"/>
      <c r="T1" s="273"/>
      <c r="W1" s="4"/>
      <c r="X1" s="275" t="s">
        <v>345</v>
      </c>
      <c r="Y1" s="275" t="s">
        <v>342</v>
      </c>
      <c r="Z1" s="275" t="s">
        <v>344</v>
      </c>
      <c r="AA1" s="433"/>
    </row>
    <row r="2" spans="3:27" ht="18.75" customHeight="1">
      <c r="C2" s="303" t="s">
        <v>43</v>
      </c>
      <c r="E2" s="516"/>
      <c r="F2" s="517"/>
      <c r="G2" s="517"/>
      <c r="K2" s="19" t="s">
        <v>299</v>
      </c>
      <c r="L2" s="4">
        <f>ベンチマーク比較!$H$9</f>
        <v>0</v>
      </c>
      <c r="M2" s="14">
        <v>1</v>
      </c>
      <c r="O2" s="92" t="s">
        <v>334</v>
      </c>
      <c r="P2" s="850" t="str">
        <f ca="1">ASC(R29&amp;R30&amp;R31&amp;R32&amp;R33&amp;R34&amp;R35&amp;R36&amp;R37&amp;R38)&amp;"etc."</f>
        <v>etc.</v>
      </c>
      <c r="Q2" s="850"/>
      <c r="R2" s="850"/>
      <c r="S2" s="850"/>
      <c r="T2" s="274"/>
      <c r="W2" s="4" t="s">
        <v>476</v>
      </c>
      <c r="X2" s="197">
        <f ca="1">C23</f>
        <v>0</v>
      </c>
      <c r="Y2" s="276">
        <f ca="1">C24</f>
        <v>0</v>
      </c>
      <c r="Z2" s="74">
        <f ca="1">IFERROR(C25,0)</f>
        <v>0</v>
      </c>
      <c r="AA2" s="4" t="str">
        <f ca="1">LEFT(REPT("★",ROUND(Z2/2,0))&amp;"☆☆☆☆☆",5)</f>
        <v>☆☆☆☆☆</v>
      </c>
    </row>
    <row r="3" spans="3:27" ht="60.75" customHeight="1">
      <c r="C3" s="358" t="s">
        <v>36</v>
      </c>
      <c r="E3" s="517"/>
      <c r="F3" s="517"/>
      <c r="G3" s="517"/>
      <c r="K3" s="19" t="s">
        <v>294</v>
      </c>
      <c r="L3" s="192">
        <f>対策チェック!$J$9</f>
        <v>0</v>
      </c>
      <c r="M3" s="193">
        <f>IFERROR(L3/$L$2,1)</f>
        <v>1</v>
      </c>
      <c r="N3" s="80"/>
      <c r="O3" s="92" t="s">
        <v>335</v>
      </c>
      <c r="P3" s="851" t="str">
        <f ca="1">ASC(R39&amp;R40&amp;R41&amp;R42&amp;R43&amp;R44&amp;R45&amp;R46&amp;R47&amp;R48&amp;R49&amp;R50&amp;R51&amp;R52&amp;R53)&amp;"etc."</f>
        <v>etc.</v>
      </c>
      <c r="Q3" s="851"/>
      <c r="R3" s="851"/>
      <c r="S3" s="851"/>
      <c r="W3" s="59" t="s">
        <v>483</v>
      </c>
      <c r="X3" s="197">
        <f ca="1">C33</f>
        <v>0</v>
      </c>
      <c r="Y3" s="276">
        <f ca="1">C34</f>
        <v>0</v>
      </c>
      <c r="Z3" s="74">
        <f ca="1">IFERROR(C35,0)</f>
        <v>0</v>
      </c>
      <c r="AA3" s="4" t="str">
        <f t="shared" ref="AA3:AA7" ca="1" si="0">LEFT(REPT("★",ROUND(Z3/2,0))&amp;"☆☆☆☆☆",5)</f>
        <v>☆☆☆☆☆</v>
      </c>
    </row>
    <row r="4" spans="3:27" ht="28.5" customHeight="1">
      <c r="C4" s="70" t="str">
        <f>対策チェック!$J$7</f>
        <v>個別・セントラル併用</v>
      </c>
      <c r="K4" s="19" t="s">
        <v>316</v>
      </c>
      <c r="L4" s="4">
        <f>対策チェック!$J$10</f>
        <v>0</v>
      </c>
      <c r="M4" s="193">
        <f>IFERROR(L4/$L$2,1)</f>
        <v>1</v>
      </c>
      <c r="N4" s="80"/>
      <c r="O4" s="92" t="s">
        <v>336</v>
      </c>
      <c r="P4" s="851" t="str">
        <f ca="1">ASC(R54&amp;R55&amp;R56&amp;R57&amp;R58&amp;R59&amp;R60&amp;R61&amp;R62&amp;R63)&amp;"etc."</f>
        <v>etc.</v>
      </c>
      <c r="Q4" s="851"/>
      <c r="R4" s="851"/>
      <c r="W4" s="59" t="s">
        <v>484</v>
      </c>
      <c r="X4" s="197">
        <f ca="1">C46</f>
        <v>0</v>
      </c>
      <c r="Y4" s="276">
        <f ca="1">C47</f>
        <v>0</v>
      </c>
      <c r="Z4" s="74">
        <f ca="1">IFERROR(C48,0)</f>
        <v>0</v>
      </c>
      <c r="AA4" s="4" t="str">
        <f t="shared" ca="1" si="0"/>
        <v>☆☆☆☆☆</v>
      </c>
    </row>
    <row r="5" spans="3:27">
      <c r="C5" t="s">
        <v>30</v>
      </c>
      <c r="E5" t="s">
        <v>100</v>
      </c>
      <c r="F5" t="s">
        <v>106</v>
      </c>
      <c r="G5" t="s">
        <v>107</v>
      </c>
      <c r="H5" s="308" t="s">
        <v>101</v>
      </c>
      <c r="I5" s="4" t="s">
        <v>104</v>
      </c>
      <c r="K5" s="19" t="s">
        <v>144</v>
      </c>
      <c r="L5" s="4">
        <f>対策チェック!$J$11</f>
        <v>0</v>
      </c>
      <c r="M5" s="193">
        <f>IFERROR(L5/$L$2,1)</f>
        <v>1</v>
      </c>
      <c r="N5" s="80"/>
      <c r="O5" s="92" t="s">
        <v>337</v>
      </c>
      <c r="P5" s="851" t="str">
        <f ca="1">ASC(R64&amp;R65&amp;R66&amp;R67&amp;R68&amp;R69&amp;R70&amp;R71&amp;R72&amp;R73)&amp;"etc."</f>
        <v>etc.</v>
      </c>
      <c r="Q5" s="851"/>
      <c r="R5" s="851"/>
      <c r="S5" s="851"/>
      <c r="W5" s="4" t="s">
        <v>477</v>
      </c>
      <c r="X5" s="197">
        <f ca="1">C58</f>
        <v>0</v>
      </c>
      <c r="Y5" s="276">
        <f ca="1">C59</f>
        <v>0</v>
      </c>
      <c r="Z5" s="74">
        <f ca="1">IFERROR(C60,0)</f>
        <v>0</v>
      </c>
      <c r="AA5" s="4" t="str">
        <f t="shared" ca="1" si="0"/>
        <v>☆☆☆☆☆</v>
      </c>
    </row>
    <row r="6" spans="3:27">
      <c r="C6" s="4" t="s">
        <v>33</v>
      </c>
      <c r="D6" s="133">
        <f>ベンチマーク比較!Y6</f>
        <v>0</v>
      </c>
      <c r="E6" s="4" t="s">
        <v>96</v>
      </c>
      <c r="F6" s="4">
        <f>エネルギー単価!C8</f>
        <v>17.22</v>
      </c>
      <c r="G6" s="78">
        <f>D6*F6</f>
        <v>0</v>
      </c>
      <c r="H6" s="309">
        <f>IFERROR(D6*エネルギー単価!E8/1000,"")</f>
        <v>0</v>
      </c>
      <c r="I6" s="76">
        <f>D6*エネルギー単価!B4/1000</f>
        <v>0</v>
      </c>
      <c r="K6" s="19" t="s">
        <v>300</v>
      </c>
      <c r="L6" s="4">
        <f>対策チェック!$J$12</f>
        <v>0</v>
      </c>
      <c r="M6" s="193">
        <f>IFERROR(L6/$L$2,1)</f>
        <v>1</v>
      </c>
      <c r="N6" s="80"/>
      <c r="O6" s="92" t="s">
        <v>338</v>
      </c>
      <c r="P6" s="851" t="str">
        <f ca="1">ASC(R74&amp;R75&amp;R76&amp;R77&amp;R78)&amp;"etc."</f>
        <v>etc.</v>
      </c>
      <c r="Q6" s="851"/>
      <c r="R6" s="851"/>
      <c r="S6" s="851"/>
      <c r="W6" s="4" t="s">
        <v>478</v>
      </c>
      <c r="X6" s="197">
        <f ca="1">C69</f>
        <v>0</v>
      </c>
      <c r="Y6" s="276">
        <f ca="1">C70</f>
        <v>0</v>
      </c>
      <c r="Z6" s="74">
        <f ca="1">IFERROR(C71,0)</f>
        <v>0</v>
      </c>
      <c r="AA6" s="4" t="str">
        <f t="shared" ca="1" si="0"/>
        <v>☆☆☆☆☆</v>
      </c>
    </row>
    <row r="7" spans="3:27">
      <c r="C7" s="4" t="s">
        <v>34</v>
      </c>
      <c r="D7" s="133">
        <f>ベンチマーク比較!Y8</f>
        <v>0</v>
      </c>
      <c r="E7" s="4" t="s">
        <v>97</v>
      </c>
      <c r="F7" s="74">
        <f>エネルギー単価!C9</f>
        <v>106.48</v>
      </c>
      <c r="G7" s="78">
        <f t="shared" ref="G7" si="1">D7*F7</f>
        <v>0</v>
      </c>
      <c r="H7" s="309">
        <f>IFERROR(D7*エネルギー単価!E9/1000,"")</f>
        <v>0</v>
      </c>
      <c r="I7" s="75">
        <f>H7*エネルギー単価!J9/1000</f>
        <v>0</v>
      </c>
      <c r="N7" s="80"/>
      <c r="O7" s="92" t="s">
        <v>339</v>
      </c>
      <c r="P7" s="851" t="str">
        <f ca="1">ASC(R79&amp;R80&amp;R81&amp;R82&amp;R83&amp;R84&amp;R85&amp;R86&amp;R87&amp;R88)&amp;"etc."</f>
        <v>etc.</v>
      </c>
      <c r="Q7" s="851"/>
      <c r="R7" s="851"/>
      <c r="S7" s="851"/>
      <c r="W7" s="4" t="s">
        <v>479</v>
      </c>
      <c r="X7" s="197">
        <f ca="1">C75</f>
        <v>0</v>
      </c>
      <c r="Y7" s="276">
        <f ca="1">C76</f>
        <v>0</v>
      </c>
      <c r="Z7" s="74">
        <f ca="1">IFERROR(C77,0)</f>
        <v>0</v>
      </c>
      <c r="AA7" s="4" t="str">
        <f t="shared" ca="1" si="0"/>
        <v>☆☆☆☆☆</v>
      </c>
    </row>
    <row r="8" spans="3:27">
      <c r="C8" s="4" t="s">
        <v>91</v>
      </c>
      <c r="D8" s="133">
        <f>ベンチマーク比較!Y9</f>
        <v>0</v>
      </c>
      <c r="E8" s="4" t="s">
        <v>98</v>
      </c>
      <c r="F8" s="74">
        <f>エネルギー単価!C10</f>
        <v>74.3</v>
      </c>
      <c r="G8" s="78">
        <f>D8*F8</f>
        <v>0</v>
      </c>
      <c r="H8" s="310">
        <f>IFERROR(D8*エネルギー単価!E10/1000,"")</f>
        <v>0</v>
      </c>
      <c r="I8" s="76">
        <f>H8*エネルギー単価!J10/1000</f>
        <v>0</v>
      </c>
      <c r="K8" s="490" t="s">
        <v>677</v>
      </c>
      <c r="N8" s="80"/>
      <c r="O8" s="92"/>
      <c r="P8" s="101"/>
      <c r="Q8" s="80"/>
      <c r="W8" s="4" t="s">
        <v>480</v>
      </c>
      <c r="X8" s="197">
        <f ca="1">C83</f>
        <v>0</v>
      </c>
      <c r="Y8" s="276">
        <f ca="1">C84</f>
        <v>0</v>
      </c>
      <c r="Z8" s="74">
        <f ca="1">IFERROR(C85,0)</f>
        <v>0</v>
      </c>
      <c r="AA8" s="4" t="str">
        <f ca="1">LEFT(REPT("★",ROUND(Z8/2,0))&amp;"☆☆☆☆☆",5)</f>
        <v>☆☆☆☆☆</v>
      </c>
    </row>
    <row r="9" spans="3:27">
      <c r="C9" s="4" t="s">
        <v>35</v>
      </c>
      <c r="D9" s="79">
        <f>ROUND(I9,0)</f>
        <v>0</v>
      </c>
      <c r="E9" s="4" t="s">
        <v>99</v>
      </c>
      <c r="F9" s="88" t="e">
        <f>IFERROR(G9/D9,NA())</f>
        <v>#N/A</v>
      </c>
      <c r="G9" s="78">
        <f>SUM(G6:G8)</f>
        <v>0</v>
      </c>
      <c r="H9" s="309">
        <f>SUM(H6:H8)</f>
        <v>0</v>
      </c>
      <c r="I9" s="95">
        <f>SUM(I6:I8)</f>
        <v>0</v>
      </c>
      <c r="K9" s="490" t="s">
        <v>678</v>
      </c>
      <c r="L9" s="491"/>
      <c r="M9" s="491"/>
      <c r="N9" s="80"/>
      <c r="O9" s="92"/>
      <c r="P9" s="101"/>
      <c r="Q9" s="80"/>
      <c r="W9" s="70" t="s">
        <v>490</v>
      </c>
      <c r="X9" s="197">
        <f ca="1">SUM(X2:X8)</f>
        <v>0</v>
      </c>
      <c r="Y9" s="276">
        <f ca="1">SUM(Y2:Y8)</f>
        <v>0</v>
      </c>
      <c r="Z9" s="74">
        <f ca="1">IFERROR(10*SUM(Z2:Z8)/70,0)</f>
        <v>0</v>
      </c>
      <c r="AA9" s="4" t="str">
        <f ca="1">LEFT(REPT("★",ROUND(Z9/2,0))&amp;"☆☆☆☆☆",5)</f>
        <v>☆☆☆☆☆</v>
      </c>
    </row>
    <row r="10" spans="3:27">
      <c r="K10" s="192" t="s">
        <v>680</v>
      </c>
      <c r="L10" s="492" t="s">
        <v>679</v>
      </c>
      <c r="N10" s="80"/>
      <c r="O10" s="92"/>
      <c r="P10" s="101"/>
      <c r="Q10" s="80"/>
    </row>
    <row r="11" spans="3:27">
      <c r="C11" t="s">
        <v>188</v>
      </c>
      <c r="E11" t="s">
        <v>100</v>
      </c>
      <c r="F11" t="s">
        <v>106</v>
      </c>
      <c r="G11" t="s">
        <v>107</v>
      </c>
      <c r="K11" s="192" t="s">
        <v>681</v>
      </c>
      <c r="L11" s="493">
        <v>1E-3</v>
      </c>
      <c r="Q11" s="80"/>
      <c r="R11" s="80"/>
      <c r="S11" s="80"/>
    </row>
    <row r="12" spans="3:27">
      <c r="C12" s="4" t="s">
        <v>38</v>
      </c>
      <c r="D12" s="76">
        <f ca="1">SUM(M19:M88)</f>
        <v>0</v>
      </c>
      <c r="E12" s="4" t="s">
        <v>99</v>
      </c>
      <c r="F12" s="78" t="e">
        <f>F9</f>
        <v>#N/A</v>
      </c>
      <c r="G12" s="88" t="str">
        <f ca="1">IFERROR(ROUND(D12*F12,0),"")</f>
        <v/>
      </c>
      <c r="K12" s="490" t="s">
        <v>692</v>
      </c>
      <c r="L12" s="103"/>
      <c r="M12" s="103"/>
      <c r="N12" s="103"/>
      <c r="O12" s="103"/>
      <c r="P12" s="103"/>
      <c r="Q12" s="103"/>
      <c r="R12" s="103"/>
      <c r="S12" s="103"/>
      <c r="T12" s="103"/>
    </row>
    <row r="13" spans="3:27">
      <c r="C13" s="4" t="s">
        <v>41</v>
      </c>
      <c r="D13" s="90">
        <f ca="1">IFERROR(D12/D9*100,0)</f>
        <v>0</v>
      </c>
      <c r="E13" s="4" t="s">
        <v>108</v>
      </c>
      <c r="F13" s="91" t="s">
        <v>109</v>
      </c>
      <c r="G13" s="75">
        <f ca="1">ROUND(G9*D13/100,0)</f>
        <v>0</v>
      </c>
      <c r="K13" s="192" t="s">
        <v>680</v>
      </c>
      <c r="L13" s="492" t="s">
        <v>679</v>
      </c>
    </row>
    <row r="14" spans="3:27">
      <c r="C14" s="4" t="s">
        <v>40</v>
      </c>
      <c r="D14" s="408" t="str">
        <f ca="1">IFERROR(ROUND(G12,-3),"")</f>
        <v/>
      </c>
      <c r="E14" s="4" t="s">
        <v>124</v>
      </c>
      <c r="F14" s="91" t="s">
        <v>71</v>
      </c>
      <c r="G14" s="4"/>
    </row>
    <row r="16" spans="3:27">
      <c r="C16" s="4" t="s">
        <v>39</v>
      </c>
      <c r="D16" s="89">
        <f ca="1">IF(ISNUMBER(N76),N76,0)+IF(ISNUMBER(N78),N78,0)</f>
        <v>0</v>
      </c>
      <c r="E16" s="4" t="s">
        <v>105</v>
      </c>
      <c r="F16" s="4">
        <v>404</v>
      </c>
      <c r="G16" s="78">
        <f ca="1">ROUND(D16*F16,0)</f>
        <v>0</v>
      </c>
    </row>
    <row r="17" spans="2:32" ht="19.5" thickBot="1">
      <c r="W17" t="s">
        <v>113</v>
      </c>
      <c r="AB17" t="s">
        <v>114</v>
      </c>
    </row>
    <row r="18" spans="2:32" ht="47.25">
      <c r="B18" s="847" t="s">
        <v>0</v>
      </c>
      <c r="C18" s="848"/>
      <c r="D18" s="27" t="s">
        <v>1</v>
      </c>
      <c r="E18" s="28" t="s">
        <v>2</v>
      </c>
      <c r="F18" s="28" t="s">
        <v>31</v>
      </c>
      <c r="G18" s="29" t="s">
        <v>32</v>
      </c>
      <c r="H18" s="311" t="s">
        <v>466</v>
      </c>
      <c r="I18" s="30" t="s">
        <v>59</v>
      </c>
      <c r="J18" s="30" t="s">
        <v>57</v>
      </c>
      <c r="K18" s="30" t="s">
        <v>37</v>
      </c>
      <c r="L18" s="30" t="s">
        <v>58</v>
      </c>
      <c r="M18" s="30" t="s">
        <v>189</v>
      </c>
      <c r="N18" s="31" t="s">
        <v>39</v>
      </c>
      <c r="O18" s="26" t="s">
        <v>64</v>
      </c>
      <c r="P18" s="9" t="s">
        <v>65</v>
      </c>
      <c r="Q18" s="110" t="s">
        <v>136</v>
      </c>
      <c r="R18" s="245" t="s">
        <v>341</v>
      </c>
      <c r="T18" s="87"/>
      <c r="U18" s="87"/>
      <c r="V18" s="93" t="s">
        <v>112</v>
      </c>
      <c r="W18" s="4">
        <v>1</v>
      </c>
      <c r="X18" s="4">
        <v>2</v>
      </c>
      <c r="Y18" s="4">
        <v>3</v>
      </c>
      <c r="Z18" s="4">
        <v>4</v>
      </c>
      <c r="AA18" s="4">
        <v>5</v>
      </c>
      <c r="AB18" s="4">
        <v>1</v>
      </c>
      <c r="AC18" s="4">
        <v>2</v>
      </c>
      <c r="AD18" s="4">
        <v>3</v>
      </c>
      <c r="AE18" s="4">
        <v>4</v>
      </c>
      <c r="AF18" s="4">
        <v>5</v>
      </c>
    </row>
    <row r="19" spans="2:32" ht="31.5">
      <c r="B19" s="263"/>
      <c r="C19" s="278" t="s">
        <v>3</v>
      </c>
      <c r="D19" s="3">
        <v>1</v>
      </c>
      <c r="E19" s="505" t="str">
        <f>VLOOKUP($D19,削減率設定!$C$5:$P$74,2,FALSE)</f>
        <v>省エネルギー対策推進体制の整備</v>
      </c>
      <c r="F19" s="18" t="str">
        <f>VLOOKUP($D19,削減率設定!$C$5:$P$74,3,FALSE)</f>
        <v>・責任者の配置､経営層､テナントを含む全従業員の参加
・推進委員会等の定期的な開催</v>
      </c>
      <c r="G19" s="105" t="str">
        <f>IF(対策チェック!AH26="","",対策チェック!AH26)</f>
        <v/>
      </c>
      <c r="I19" s="82" t="str">
        <f ca="1">IFERROR(IF($G19="該当なし","",OFFSET($AB19,0,MATCH($G19,$W19:$AA19,0)-1)),"")</f>
        <v/>
      </c>
      <c r="J19" s="180">
        <f ca="1">IF(IFERROR(OFFSET(削減率設定!$O$3,MATCH($D19,削減率設定!$C$5:$C$74,0)+1,0),0)=0,"-",OFFSET(削減率設定!$O$3,MATCH($D19,削減率設定!$C$5:$C$74,0)+1,0))</f>
        <v>5.0000000000000001E-3</v>
      </c>
      <c r="K19" s="197">
        <f>IFERROR(VLOOKUP(O19,エネルギーシェア!$B$4:$I$23,MATCH("選択中",エネルギーシェア!$B$2:$I$2,0),FALSE)/100,0)+IFERROR(VLOOKUP(P19,エネルギーシェア!$B$4:$I$23,MATCH("選択中",エネルギーシェア!$B$2:$I$2,0),FALSE)/100,0)</f>
        <v>1</v>
      </c>
      <c r="L19" s="54" t="str">
        <f ca="1">IF(COUNTIF(O19:P19,"なし")&gt;0,"-",IFERROR(IF(AND($L$10="○",J19*K19*(1-I19)&gt;0,J19*K19*(1-I19)&lt;$L$11),$L$11,J19*K19*(1-I19)),"-"))</f>
        <v>-</v>
      </c>
      <c r="M19" s="15" t="str">
        <f ca="1">IF(AND(COUNTIF(O19:P19,"給排水")=1,$L$13=""),"-",IFERROR(D$9*L19,"-"))</f>
        <v>-</v>
      </c>
      <c r="N19" s="34" t="s">
        <v>71</v>
      </c>
      <c r="O19" s="32" t="s">
        <v>56</v>
      </c>
      <c r="P19" s="19"/>
      <c r="Q19" s="134" t="str">
        <f ca="1">IFERROR(RANK(L19,$L$19:$L$28),"-")</f>
        <v>-</v>
      </c>
      <c r="R19" t="str">
        <f ca="1">IF(AND(G19&lt;&gt;W19,OR(Q19=1,AND(Q19=2,COUNTIF(Q$19:Q$28,1)&lt;3),AND(Q19=3,COUNTIF(Q$19:Q$28,2)&lt;2,COUNTIF(Q$19:Q19,3)&lt;2))),"・"&amp;E19&amp;CHAR(13),"")</f>
        <v/>
      </c>
      <c r="T19" s="4"/>
      <c r="U19" s="4"/>
      <c r="V19" s="93">
        <v>1</v>
      </c>
      <c r="W19" s="70" t="str">
        <f ca="1">IF($V19="","",IF(OFFSET(選択肢パターン!B$2,$V19,0)="","",OFFSET(選択肢パターン!B$2,$V19,0)))</f>
        <v>実施済</v>
      </c>
      <c r="X19" s="70" t="str">
        <f ca="1">IF($V19="","",IF(OFFSET(選択肢パターン!C$2,$V19,0)="","",OFFSET(選択肢パターン!C$2,$V19,0)))</f>
        <v>一部実施済</v>
      </c>
      <c r="Y19" s="70" t="str">
        <f ca="1">IF($V19="","",IF(OFFSET(選択肢パターン!D$2,$V19,0)="","",OFFSET(選択肢パターン!D$2,$V19,0)))</f>
        <v>未実施</v>
      </c>
      <c r="Z19" s="70" t="str">
        <f ca="1">IF($V19="","",IF(OFFSET(選択肢パターン!E$2,$V19,0)="","",OFFSET(選択肢パターン!E$2,$V19,0)))</f>
        <v/>
      </c>
      <c r="AA19" s="70" t="str">
        <f ca="1">IF($V19="","",IF(OFFSET(選択肢パターン!F$2,$V19,0)="","",OFFSET(選択肢パターン!F$2,$V19,0)))</f>
        <v/>
      </c>
      <c r="AB19" s="94">
        <f ca="1">IF($V19="","",IF(OFFSET(選択肢パターン!G$2,$V19,0)="","",OFFSET(選択肢パターン!G$2,$V19,0)))</f>
        <v>1</v>
      </c>
      <c r="AC19" s="94">
        <f ca="1">IF($V19="","",IF(OFFSET(選択肢パターン!H$2,$V19,0)="","",OFFSET(選択肢パターン!H$2,$V19,0)))</f>
        <v>0.5</v>
      </c>
      <c r="AD19" s="94">
        <f ca="1">IF($V19="","",IF(OFFSET(選択肢パターン!I$2,$V19,0)="","",OFFSET(選択肢パターン!I$2,$V19,0)))</f>
        <v>0</v>
      </c>
      <c r="AE19" s="94" t="str">
        <f ca="1">IF($V19="","",IF(OFFSET(選択肢パターン!J$2,$V19,0)="","",OFFSET(選択肢パターン!J$2,$V19,0)))</f>
        <v/>
      </c>
      <c r="AF19" s="94" t="str">
        <f ca="1">IF($V19="","",IF(OFFSET(選択肢パターン!K$2,$V19,0)="","",OFFSET(選択肢パターン!K$2,$V19,0)))</f>
        <v/>
      </c>
    </row>
    <row r="20" spans="2:32">
      <c r="B20" s="263"/>
      <c r="C20" s="255" t="s">
        <v>4</v>
      </c>
      <c r="D20" s="3">
        <v>2</v>
      </c>
      <c r="E20" s="505" t="str">
        <f>VLOOKUP($D20,削減率設定!$C$5:$P$74,2,FALSE)</f>
        <v>省エネルギー削減目標の設定</v>
      </c>
      <c r="F20" s="5" t="str">
        <f>VLOOKUP($D20,削減率設定!$C$5:$P$74,3,FALSE)</f>
        <v>経営者が削減目標及び取組方針を設定、周知</v>
      </c>
      <c r="G20" s="105" t="str">
        <f>IF(対策チェック!AH27="","",対策チェック!AH27)</f>
        <v/>
      </c>
      <c r="I20" s="82" t="str">
        <f t="shared" ref="I20:I83" ca="1" si="2">IFERROR(IF($G20="該当なし","",OFFSET($AB20,0,MATCH($G20,$W20:$AA20,0)-1)),"")</f>
        <v/>
      </c>
      <c r="J20" s="180">
        <f ca="1">IF(IFERROR(OFFSET(削減率設定!$O$3,MATCH($D20,削減率設定!$C$5:$C$74,0)+1,0),0)=0,"-",OFFSET(削減率設定!$O$3,MATCH($D20,削減率設定!$C$5:$C$74,0)+1,0))</f>
        <v>5.0000000000000001E-3</v>
      </c>
      <c r="K20" s="197">
        <f>IFERROR(VLOOKUP(O20,エネルギーシェア!$B$4:$I$23,MATCH("選択中",エネルギーシェア!$B$2:$I$2,0),FALSE)/100,0)+IFERROR(VLOOKUP(P20,エネルギーシェア!$B$4:$I$23,MATCH("選択中",エネルギーシェア!$B$2:$I$2,0),FALSE)/100,0)</f>
        <v>1</v>
      </c>
      <c r="L20" s="54" t="str">
        <f t="shared" ref="L20:L83" ca="1" si="3">IF(COUNTIF(O20:P20,"なし")&gt;0,"-",IFERROR(IF(AND($L$10="○",J20*K20*(1-I20)&gt;0,J20*K20*(1-I20)&lt;$L$11),$L$11,J20*K20*(1-I20)),"-"))</f>
        <v>-</v>
      </c>
      <c r="M20" s="15" t="str">
        <f t="shared" ref="M20:M83" ca="1" si="4">IF(AND(COUNTIF(O20:P20,"給排水")=1,$L$13=""),"-",IFERROR(D$9*L20,"-"))</f>
        <v>-</v>
      </c>
      <c r="N20" s="34" t="s">
        <v>71</v>
      </c>
      <c r="O20" s="32" t="s">
        <v>56</v>
      </c>
      <c r="P20" s="19"/>
      <c r="Q20" s="134" t="str">
        <f t="shared" ref="Q20:Q28" ca="1" si="5">IFERROR(RANK(L20,$L$19:$L$28),"-")</f>
        <v>-</v>
      </c>
      <c r="R20" t="str">
        <f ca="1">IF(AND(G20&lt;&gt;W20,OR(Q20=1,AND(Q20=2,COUNTIF(Q$19:Q$28,1)&lt;3),AND(Q20=3,COUNTIF(Q$19:Q$28,2)&lt;2,COUNTIF(Q$19:Q20,3)&lt;2))),"・"&amp;E20&amp;CHAR(13),"")</f>
        <v/>
      </c>
      <c r="T20" s="4"/>
      <c r="U20" s="4"/>
      <c r="V20" s="93">
        <v>1</v>
      </c>
      <c r="W20" s="70" t="str">
        <f ca="1">IF($V20="","",IF(OFFSET(選択肢パターン!B$2,$V20,0)="","",OFFSET(選択肢パターン!B$2,$V20,0)))</f>
        <v>実施済</v>
      </c>
      <c r="X20" s="70" t="str">
        <f ca="1">IF($V20="","",IF(OFFSET(選択肢パターン!C$2,$V20,0)="","",OFFSET(選択肢パターン!C$2,$V20,0)))</f>
        <v>一部実施済</v>
      </c>
      <c r="Y20" s="70" t="str">
        <f ca="1">IF($V20="","",IF(OFFSET(選択肢パターン!D$2,$V20,0)="","",OFFSET(選択肢パターン!D$2,$V20,0)))</f>
        <v>未実施</v>
      </c>
      <c r="Z20" s="4" t="str">
        <f ca="1">IF($V20="","",IF(OFFSET(選択肢パターン!E$2,$V20,0)="","",OFFSET(選択肢パターン!E$2,$V20,0)))</f>
        <v/>
      </c>
      <c r="AA20" s="4" t="str">
        <f ca="1">IF($V20="","",IF(OFFSET(選択肢パターン!F$2,$V20,0)="","",OFFSET(選択肢パターン!F$2,$V20,0)))</f>
        <v/>
      </c>
      <c r="AB20" s="94">
        <f ca="1">IF($V20="","",IF(OFFSET(選択肢パターン!G$2,$V20,0)="","",OFFSET(選択肢パターン!G$2,$V20,0)))</f>
        <v>1</v>
      </c>
      <c r="AC20" s="94">
        <f ca="1">IF($V20="","",IF(OFFSET(選択肢パターン!H$2,$V20,0)="","",OFFSET(選択肢パターン!H$2,$V20,0)))</f>
        <v>0.5</v>
      </c>
      <c r="AD20" s="94">
        <f ca="1">IF($V20="","",IF(OFFSET(選択肢パターン!I$2,$V20,0)="","",OFFSET(選択肢パターン!I$2,$V20,0)))</f>
        <v>0</v>
      </c>
      <c r="AE20" s="14" t="str">
        <f ca="1">IF($V20="","",IF(OFFSET(選択肢パターン!J$2,$V20,0)="","",OFFSET(選択肢パターン!J$2,$V20,0)))</f>
        <v/>
      </c>
      <c r="AF20" s="14" t="str">
        <f ca="1">IF($V20="","",IF(OFFSET(選択肢パターン!K$2,$V20,0)="","",OFFSET(選択肢パターン!K$2,$V20,0)))</f>
        <v/>
      </c>
    </row>
    <row r="21" spans="2:32" ht="31.5">
      <c r="B21" s="263"/>
      <c r="C21" s="256"/>
      <c r="D21" s="3">
        <v>3</v>
      </c>
      <c r="E21" s="505" t="str">
        <f>VLOOKUP($D21,削減率設定!$C$5:$P$74,2,FALSE)</f>
        <v>設備管理台帳、図面類の整備</v>
      </c>
      <c r="F21" s="5" t="str">
        <f>ASC(VLOOKUP($D21,削減率設定!$C$5:$P$74,3,FALSE))</f>
        <v>･主要機器の仕様､修繕･更新履歴及び費用等を記録
･竣工図､系統図等の整備､更新</v>
      </c>
      <c r="G21" s="105" t="str">
        <f>IF(対策チェック!AH28="","",対策チェック!AH28)</f>
        <v/>
      </c>
      <c r="I21" s="82" t="str">
        <f t="shared" ca="1" si="2"/>
        <v/>
      </c>
      <c r="J21" s="180">
        <f ca="1">IF(IFERROR(OFFSET(削減率設定!$O$3,MATCH($D21,削減率設定!$C$5:$C$74,0)+1,0),0)=0,"-",OFFSET(削減率設定!$O$3,MATCH($D21,削減率設定!$C$5:$C$74,0)+1,0))</f>
        <v>5.0000000000000001E-3</v>
      </c>
      <c r="K21" s="197">
        <f>IFERROR(VLOOKUP(O21,エネルギーシェア!$B$4:$I$23,MATCH("選択中",エネルギーシェア!$B$2:$I$2,0),FALSE)/100,0)+IFERROR(VLOOKUP(P21,エネルギーシェア!$B$4:$I$23,MATCH("選択中",エネルギーシェア!$B$2:$I$2,0),FALSE)/100,0)</f>
        <v>1</v>
      </c>
      <c r="L21" s="54" t="str">
        <f t="shared" ca="1" si="3"/>
        <v>-</v>
      </c>
      <c r="M21" s="15" t="str">
        <f t="shared" ca="1" si="4"/>
        <v>-</v>
      </c>
      <c r="N21" s="34" t="s">
        <v>71</v>
      </c>
      <c r="O21" s="32" t="s">
        <v>56</v>
      </c>
      <c r="P21" s="19"/>
      <c r="Q21" s="134" t="str">
        <f t="shared" ca="1" si="5"/>
        <v>-</v>
      </c>
      <c r="R21" t="str">
        <f ca="1">IF(AND(G21&lt;&gt;W21,OR(Q21=1,AND(Q21=2,COUNTIF(Q$19:Q$28,1)&lt;3),AND(Q21=3,COUNTIF(Q$19:Q$28,2)&lt;2,COUNTIF(Q$19:Q21,3)&lt;2))),"・"&amp;E21&amp;CHAR(13),"")</f>
        <v/>
      </c>
      <c r="T21" s="4"/>
      <c r="U21" s="4"/>
      <c r="V21" s="93">
        <v>1</v>
      </c>
      <c r="W21" s="70" t="str">
        <f ca="1">IF($V21="","",IF(OFFSET(選択肢パターン!B$2,$V21,0)="","",OFFSET(選択肢パターン!B$2,$V21,0)))</f>
        <v>実施済</v>
      </c>
      <c r="X21" s="70" t="str">
        <f ca="1">IF($V21="","",IF(OFFSET(選択肢パターン!C$2,$V21,0)="","",OFFSET(選択肢パターン!C$2,$V21,0)))</f>
        <v>一部実施済</v>
      </c>
      <c r="Y21" s="70" t="str">
        <f ca="1">IF($V21="","",IF(OFFSET(選択肢パターン!D$2,$V21,0)="","",OFFSET(選択肢パターン!D$2,$V21,0)))</f>
        <v>未実施</v>
      </c>
      <c r="Z21" s="4" t="str">
        <f ca="1">IF($V21="","",IF(OFFSET(選択肢パターン!E$2,$V21,0)="","",OFFSET(選択肢パターン!E$2,$V21,0)))</f>
        <v/>
      </c>
      <c r="AA21" s="4" t="str">
        <f ca="1">IF($V21="","",IF(OFFSET(選択肢パターン!F$2,$V21,0)="","",OFFSET(選択肢パターン!F$2,$V21,0)))</f>
        <v/>
      </c>
      <c r="AB21" s="94">
        <f ca="1">IF($V21="","",IF(OFFSET(選択肢パターン!G$2,$V21,0)="","",OFFSET(選択肢パターン!G$2,$V21,0)))</f>
        <v>1</v>
      </c>
      <c r="AC21" s="94">
        <f ca="1">IF($V21="","",IF(OFFSET(選択肢パターン!H$2,$V21,0)="","",OFFSET(選択肢パターン!H$2,$V21,0)))</f>
        <v>0.5</v>
      </c>
      <c r="AD21" s="94">
        <f ca="1">IF($V21="","",IF(OFFSET(選択肢パターン!I$2,$V21,0)="","",OFFSET(選択肢パターン!I$2,$V21,0)))</f>
        <v>0</v>
      </c>
      <c r="AE21" s="14" t="str">
        <f ca="1">IF($V21="","",IF(OFFSET(選択肢パターン!J$2,$V21,0)="","",OFFSET(選択肢パターン!J$2,$V21,0)))</f>
        <v/>
      </c>
      <c r="AF21" s="14" t="str">
        <f ca="1">IF($V21="","",IF(OFFSET(選択肢パターン!K$2,$V21,0)="","",OFFSET(選択肢パターン!K$2,$V21,0)))</f>
        <v/>
      </c>
    </row>
    <row r="22" spans="2:32" ht="31.5">
      <c r="B22" s="263"/>
      <c r="C22" s="256"/>
      <c r="D22" s="40">
        <v>4</v>
      </c>
      <c r="E22" s="506" t="str">
        <f>VLOOKUP($D22,削減率設定!$C$5:$P$74,2,FALSE)</f>
        <v>管理標準の策定</v>
      </c>
      <c r="F22" s="5" t="str">
        <f>VLOOKUP($D22,削減率設定!$C$5:$P$74,3,FALSE)</f>
        <v>主要機器の管理､計測､記録､保守､点検等に関するマニュアルの策定</v>
      </c>
      <c r="G22" s="105" t="str">
        <f>IF(対策チェック!AH29="","",対策チェック!AH29)</f>
        <v/>
      </c>
      <c r="I22" s="82" t="str">
        <f t="shared" ca="1" si="2"/>
        <v/>
      </c>
      <c r="J22" s="180">
        <f ca="1">IF(IFERROR(OFFSET(削減率設定!$O$3,MATCH($D22,削減率設定!$C$5:$C$74,0)+1,0),0)=0,"-",OFFSET(削減率設定!$O$3,MATCH($D22,削減率設定!$C$5:$C$74,0)+1,0))</f>
        <v>5.0000000000000001E-3</v>
      </c>
      <c r="K22" s="197">
        <f>IFERROR(VLOOKUP(O22,エネルギーシェア!$B$4:$I$23,MATCH("選択中",エネルギーシェア!$B$2:$I$2,0),FALSE)/100,0)+IFERROR(VLOOKUP(P22,エネルギーシェア!$B$4:$I$23,MATCH("選択中",エネルギーシェア!$B$2:$I$2,0),FALSE)/100,0)</f>
        <v>1</v>
      </c>
      <c r="L22" s="54" t="str">
        <f t="shared" ca="1" si="3"/>
        <v>-</v>
      </c>
      <c r="M22" s="15" t="str">
        <f t="shared" ca="1" si="4"/>
        <v>-</v>
      </c>
      <c r="N22" s="34" t="s">
        <v>71</v>
      </c>
      <c r="O22" s="32" t="s">
        <v>56</v>
      </c>
      <c r="P22" s="19"/>
      <c r="Q22" s="134" t="str">
        <f t="shared" ca="1" si="5"/>
        <v>-</v>
      </c>
      <c r="R22" t="str">
        <f ca="1">IF(AND(G22&lt;&gt;W22,OR(Q22=1,AND(Q22=2,COUNTIF(Q$19:Q$28,1)&lt;3),AND(Q22=3,COUNTIF(Q$19:Q$28,2)&lt;2,COUNTIF(Q$19:Q22,3)&lt;2))),"・"&amp;E22&amp;CHAR(13),"")</f>
        <v/>
      </c>
      <c r="T22" s="4"/>
      <c r="U22" s="4"/>
      <c r="V22" s="93">
        <v>1</v>
      </c>
      <c r="W22" s="70" t="str">
        <f ca="1">IF($V22="","",IF(OFFSET(選択肢パターン!B$2,$V22,0)="","",OFFSET(選択肢パターン!B$2,$V22,0)))</f>
        <v>実施済</v>
      </c>
      <c r="X22" s="70" t="str">
        <f ca="1">IF($V22="","",IF(OFFSET(選択肢パターン!C$2,$V22,0)="","",OFFSET(選択肢パターン!C$2,$V22,0)))</f>
        <v>一部実施済</v>
      </c>
      <c r="Y22" s="70" t="str">
        <f ca="1">IF($V22="","",IF(OFFSET(選択肢パターン!D$2,$V22,0)="","",OFFSET(選択肢パターン!D$2,$V22,0)))</f>
        <v>未実施</v>
      </c>
      <c r="Z22" s="4" t="str">
        <f ca="1">IF($V22="","",IF(OFFSET(選択肢パターン!E$2,$V22,0)="","",OFFSET(選択肢パターン!E$2,$V22,0)))</f>
        <v/>
      </c>
      <c r="AA22" s="4" t="str">
        <f ca="1">IF($V22="","",IF(OFFSET(選択肢パターン!F$2,$V22,0)="","",OFFSET(選択肢パターン!F$2,$V22,0)))</f>
        <v/>
      </c>
      <c r="AB22" s="94">
        <f ca="1">IF($V22="","",IF(OFFSET(選択肢パターン!G$2,$V22,0)="","",OFFSET(選択肢パターン!G$2,$V22,0)))</f>
        <v>1</v>
      </c>
      <c r="AC22" s="94">
        <f ca="1">IF($V22="","",IF(OFFSET(選択肢パターン!H$2,$V22,0)="","",OFFSET(選択肢パターン!H$2,$V22,0)))</f>
        <v>0.5</v>
      </c>
      <c r="AD22" s="94">
        <f ca="1">IF($V22="","",IF(OFFSET(選択肢パターン!I$2,$V22,0)="","",OFFSET(選択肢パターン!I$2,$V22,0)))</f>
        <v>0</v>
      </c>
      <c r="AE22" s="14" t="str">
        <f ca="1">IF($V22="","",IF(OFFSET(選択肢パターン!J$2,$V22,0)="","",OFFSET(選択肢パターン!J$2,$V22,0)))</f>
        <v/>
      </c>
      <c r="AF22" s="14" t="str">
        <f ca="1">IF($V22="","",IF(OFFSET(選択肢パターン!K$2,$V22,0)="","",OFFSET(選択肢パターン!K$2,$V22,0)))</f>
        <v/>
      </c>
    </row>
    <row r="23" spans="2:32" ht="25.5">
      <c r="B23" s="264" t="s">
        <v>345</v>
      </c>
      <c r="C23" s="257">
        <f ca="1">SUM(L19:L28)</f>
        <v>0</v>
      </c>
      <c r="D23" s="3">
        <v>5</v>
      </c>
      <c r="E23" s="505" t="str">
        <f>VLOOKUP($D23,削減率設定!$C$5:$P$74,2,FALSE)</f>
        <v>定期的な計測、記録の実施</v>
      </c>
      <c r="F23" s="5" t="str">
        <f>VLOOKUP($D23,削減率設定!$C$5:$P$74,3,FALSE)</f>
        <v>エネルギー使用量､照度､温湿度､CO2濃度等を計測､記録</v>
      </c>
      <c r="G23" s="105" t="str">
        <f>IF(対策チェック!AH30="","",対策チェック!AH30)</f>
        <v/>
      </c>
      <c r="I23" s="82" t="str">
        <f t="shared" ca="1" si="2"/>
        <v/>
      </c>
      <c r="J23" s="180">
        <f ca="1">IF(IFERROR(OFFSET(削減率設定!$O$3,MATCH($D23,削減率設定!$C$5:$C$74,0)+1,0),0)=0,"-",OFFSET(削減率設定!$O$3,MATCH($D23,削減率設定!$C$5:$C$74,0)+1,0))</f>
        <v>5.0000000000000001E-3</v>
      </c>
      <c r="K23" s="197">
        <f>IFERROR(VLOOKUP(O23,エネルギーシェア!$B$4:$I$23,MATCH("選択中",エネルギーシェア!$B$2:$I$2,0),FALSE)/100,0)+IFERROR(VLOOKUP(P23,エネルギーシェア!$B$4:$I$23,MATCH("選択中",エネルギーシェア!$B$2:$I$2,0),FALSE)/100,0)</f>
        <v>1</v>
      </c>
      <c r="L23" s="54" t="str">
        <f t="shared" ca="1" si="3"/>
        <v>-</v>
      </c>
      <c r="M23" s="15" t="str">
        <f t="shared" ca="1" si="4"/>
        <v>-</v>
      </c>
      <c r="N23" s="34" t="s">
        <v>71</v>
      </c>
      <c r="O23" s="32" t="s">
        <v>56</v>
      </c>
      <c r="P23" s="19"/>
      <c r="Q23" s="134" t="str">
        <f t="shared" ca="1" si="5"/>
        <v>-</v>
      </c>
      <c r="R23" t="str">
        <f ca="1">IF(AND(G23&lt;&gt;W23,OR(Q23=1,AND(Q23=2,COUNTIF(Q$19:Q$28,1)&lt;3),AND(Q23=3,COUNTIF(Q$19:Q$28,2)&lt;2,COUNTIF(Q$19:Q23,3)&lt;2))),"・"&amp;E23&amp;CHAR(13),"")</f>
        <v/>
      </c>
      <c r="T23" s="4"/>
      <c r="U23" s="4"/>
      <c r="V23" s="93">
        <v>1</v>
      </c>
      <c r="W23" s="70" t="str">
        <f ca="1">IF($V23="","",IF(OFFSET(選択肢パターン!B$2,$V23,0)="","",OFFSET(選択肢パターン!B$2,$V23,0)))</f>
        <v>実施済</v>
      </c>
      <c r="X23" s="70" t="str">
        <f ca="1">IF($V23="","",IF(OFFSET(選択肢パターン!C$2,$V23,0)="","",OFFSET(選択肢パターン!C$2,$V23,0)))</f>
        <v>一部実施済</v>
      </c>
      <c r="Y23" s="70" t="str">
        <f ca="1">IF($V23="","",IF(OFFSET(選択肢パターン!D$2,$V23,0)="","",OFFSET(選択肢パターン!D$2,$V23,0)))</f>
        <v>未実施</v>
      </c>
      <c r="Z23" s="4" t="str">
        <f ca="1">IF($V23="","",IF(OFFSET(選択肢パターン!E$2,$V23,0)="","",OFFSET(選択肢パターン!E$2,$V23,0)))</f>
        <v/>
      </c>
      <c r="AA23" s="4" t="str">
        <f ca="1">IF($V23="","",IF(OFFSET(選択肢パターン!F$2,$V23,0)="","",OFFSET(選択肢パターン!F$2,$V23,0)))</f>
        <v/>
      </c>
      <c r="AB23" s="94">
        <f ca="1">IF($V23="","",IF(OFFSET(選択肢パターン!G$2,$V23,0)="","",OFFSET(選択肢パターン!G$2,$V23,0)))</f>
        <v>1</v>
      </c>
      <c r="AC23" s="94">
        <f ca="1">IF($V23="","",IF(OFFSET(選択肢パターン!H$2,$V23,0)="","",OFFSET(選択肢パターン!H$2,$V23,0)))</f>
        <v>0.5</v>
      </c>
      <c r="AD23" s="94">
        <f ca="1">IF($V23="","",IF(OFFSET(選択肢パターン!I$2,$V23,0)="","",OFFSET(選択肢パターン!I$2,$V23,0)))</f>
        <v>0</v>
      </c>
      <c r="AE23" s="14" t="str">
        <f ca="1">IF($V23="","",IF(OFFSET(選択肢パターン!J$2,$V23,0)="","",OFFSET(選択肢パターン!J$2,$V23,0)))</f>
        <v/>
      </c>
      <c r="AF23" s="14" t="str">
        <f ca="1">IF($V23="","",IF(OFFSET(選択肢パターン!K$2,$V23,0)="","",OFFSET(選択肢パターン!K$2,$V23,0)))</f>
        <v/>
      </c>
    </row>
    <row r="24" spans="2:32" ht="37.5">
      <c r="B24" s="254" t="s">
        <v>342</v>
      </c>
      <c r="C24" s="258">
        <f ca="1">SUM(M19:M28)</f>
        <v>0</v>
      </c>
      <c r="D24" s="3">
        <v>6</v>
      </c>
      <c r="E24" s="505" t="str">
        <f>VLOOKUP($D24,削減率設定!$C$5:$P$74,2,FALSE)</f>
        <v>省エネ対策取組状況の点検</v>
      </c>
      <c r="F24" s="5" t="str">
        <f>VLOOKUP($D24,削減率設定!$C$5:$P$74,3,FALSE)</f>
        <v>・点検項目､手順を定め社内点検
・省エネ診断等外部専門家を活用</v>
      </c>
      <c r="G24" s="105" t="str">
        <f>IF(対策チェック!AH31="","",対策チェック!AH31)</f>
        <v/>
      </c>
      <c r="I24" s="82" t="str">
        <f t="shared" ca="1" si="2"/>
        <v/>
      </c>
      <c r="J24" s="180">
        <f ca="1">IF(IFERROR(OFFSET(削減率設定!$O$3,MATCH($D24,削減率設定!$C$5:$C$74,0)+1,0),0)=0,"-",OFFSET(削減率設定!$O$3,MATCH($D24,削減率設定!$C$5:$C$74,0)+1,0))</f>
        <v>5.0000000000000001E-3</v>
      </c>
      <c r="K24" s="197">
        <f>IFERROR(VLOOKUP(O24,エネルギーシェア!$B$4:$I$23,MATCH("選択中",エネルギーシェア!$B$2:$I$2,0),FALSE)/100,0)+IFERROR(VLOOKUP(P24,エネルギーシェア!$B$4:$I$23,MATCH("選択中",エネルギーシェア!$B$2:$I$2,0),FALSE)/100,0)</f>
        <v>1</v>
      </c>
      <c r="L24" s="54" t="str">
        <f t="shared" ca="1" si="3"/>
        <v>-</v>
      </c>
      <c r="M24" s="15" t="str">
        <f t="shared" ca="1" si="4"/>
        <v>-</v>
      </c>
      <c r="N24" s="34" t="s">
        <v>71</v>
      </c>
      <c r="O24" s="32" t="s">
        <v>56</v>
      </c>
      <c r="P24" s="19"/>
      <c r="Q24" s="134" t="str">
        <f t="shared" ca="1" si="5"/>
        <v>-</v>
      </c>
      <c r="R24" t="str">
        <f ca="1">IF(AND(G24&lt;&gt;W24,OR(Q24=1,AND(Q24=2,COUNTIF(Q$19:Q$28,1)&lt;3),AND(Q24=3,COUNTIF(Q$19:Q$28,2)&lt;2,COUNTIF(Q$19:Q24,3)&lt;2))),"・"&amp;E24&amp;CHAR(13),"")</f>
        <v/>
      </c>
      <c r="T24" s="4"/>
      <c r="U24" s="4"/>
      <c r="V24" s="93">
        <v>1</v>
      </c>
      <c r="W24" s="70" t="str">
        <f ca="1">IF($V24="","",IF(OFFSET(選択肢パターン!B$2,$V24,0)="","",OFFSET(選択肢パターン!B$2,$V24,0)))</f>
        <v>実施済</v>
      </c>
      <c r="X24" s="70" t="str">
        <f ca="1">IF($V24="","",IF(OFFSET(選択肢パターン!C$2,$V24,0)="","",OFFSET(選択肢パターン!C$2,$V24,0)))</f>
        <v>一部実施済</v>
      </c>
      <c r="Y24" s="70" t="str">
        <f ca="1">IF($V24="","",IF(OFFSET(選択肢パターン!D$2,$V24,0)="","",OFFSET(選択肢パターン!D$2,$V24,0)))</f>
        <v>未実施</v>
      </c>
      <c r="Z24" s="4" t="str">
        <f ca="1">IF($V24="","",IF(OFFSET(選択肢パターン!E$2,$V24,0)="","",OFFSET(選択肢パターン!E$2,$V24,0)))</f>
        <v/>
      </c>
      <c r="AA24" s="4" t="str">
        <f ca="1">IF($V24="","",IF(OFFSET(選択肢パターン!F$2,$V24,0)="","",OFFSET(選択肢パターン!F$2,$V24,0)))</f>
        <v/>
      </c>
      <c r="AB24" s="94">
        <f ca="1">IF($V24="","",IF(OFFSET(選択肢パターン!G$2,$V24,0)="","",OFFSET(選択肢パターン!G$2,$V24,0)))</f>
        <v>1</v>
      </c>
      <c r="AC24" s="94">
        <f ca="1">IF($V24="","",IF(OFFSET(選択肢パターン!H$2,$V24,0)="","",OFFSET(選択肢パターン!H$2,$V24,0)))</f>
        <v>0.5</v>
      </c>
      <c r="AD24" s="94">
        <f ca="1">IF($V24="","",IF(OFFSET(選択肢パターン!I$2,$V24,0)="","",OFFSET(選択肢パターン!I$2,$V24,0)))</f>
        <v>0</v>
      </c>
      <c r="AE24" s="14" t="str">
        <f ca="1">IF($V24="","",IF(OFFSET(選択肢パターン!J$2,$V24,0)="","",OFFSET(選択肢パターン!J$2,$V24,0)))</f>
        <v/>
      </c>
      <c r="AF24" s="14" t="str">
        <f ca="1">IF($V24="","",IF(OFFSET(選択肢パターン!K$2,$V24,0)="","",OFFSET(選択肢パターン!K$2,$V24,0)))</f>
        <v/>
      </c>
    </row>
    <row r="25" spans="2:32" ht="37.5">
      <c r="B25" s="254" t="s">
        <v>344</v>
      </c>
      <c r="C25" s="259">
        <f ca="1">SUM(I19:I28)</f>
        <v>0</v>
      </c>
      <c r="D25" s="3">
        <v>7</v>
      </c>
      <c r="E25" s="505" t="str">
        <f>VLOOKUP($D25,削減率設定!$C$5:$P$74,2,FALSE)</f>
        <v>主要設備の使用状況の管理</v>
      </c>
      <c r="F25" s="5" t="str">
        <f>VLOOKUP($D25,削減率設定!$C$5:$P$74,3,FALSE)</f>
        <v>主要設備の使用状況､耐用年数､不具合の把握､記録</v>
      </c>
      <c r="G25" s="105" t="str">
        <f>IF(対策チェック!AH32="","",対策チェック!AH32)</f>
        <v/>
      </c>
      <c r="I25" s="82" t="str">
        <f t="shared" ca="1" si="2"/>
        <v/>
      </c>
      <c r="J25" s="180">
        <f ca="1">IF(IFERROR(OFFSET(削減率設定!$O$3,MATCH($D25,削減率設定!$C$5:$C$74,0)+1,0),0)=0,"-",OFFSET(削減率設定!$O$3,MATCH($D25,削減率設定!$C$5:$C$74,0)+1,0))</f>
        <v>5.0000000000000001E-3</v>
      </c>
      <c r="K25" s="197">
        <f>IFERROR(VLOOKUP(O25,エネルギーシェア!$B$4:$I$23,MATCH("選択中",エネルギーシェア!$B$2:$I$2,0),FALSE)/100,0)+IFERROR(VLOOKUP(P25,エネルギーシェア!$B$4:$I$23,MATCH("選択中",エネルギーシェア!$B$2:$I$2,0),FALSE)/100,0)</f>
        <v>1</v>
      </c>
      <c r="L25" s="54" t="str">
        <f t="shared" ca="1" si="3"/>
        <v>-</v>
      </c>
      <c r="M25" s="15" t="str">
        <f t="shared" ca="1" si="4"/>
        <v>-</v>
      </c>
      <c r="N25" s="34" t="s">
        <v>71</v>
      </c>
      <c r="O25" s="32" t="s">
        <v>56</v>
      </c>
      <c r="P25" s="19"/>
      <c r="Q25" s="134" t="str">
        <f t="shared" ca="1" si="5"/>
        <v>-</v>
      </c>
      <c r="R25" t="str">
        <f ca="1">IF(AND(G25&lt;&gt;W25,OR(Q25=1,AND(Q25=2,COUNTIF(Q$19:Q$28,1)&lt;3),AND(Q25=3,COUNTIF(Q$19:Q$28,2)&lt;2,COUNTIF(Q$19:Q25,3)&lt;2))),"・"&amp;E25&amp;CHAR(13),"")</f>
        <v/>
      </c>
      <c r="T25" s="4"/>
      <c r="U25" s="4"/>
      <c r="V25" s="93">
        <v>1</v>
      </c>
      <c r="W25" s="70" t="str">
        <f ca="1">IF($V25="","",IF(OFFSET(選択肢パターン!B$2,$V25,0)="","",OFFSET(選択肢パターン!B$2,$V25,0)))</f>
        <v>実施済</v>
      </c>
      <c r="X25" s="70" t="str">
        <f ca="1">IF($V25="","",IF(OFFSET(選択肢パターン!C$2,$V25,0)="","",OFFSET(選択肢パターン!C$2,$V25,0)))</f>
        <v>一部実施済</v>
      </c>
      <c r="Y25" s="70" t="str">
        <f ca="1">IF($V25="","",IF(OFFSET(選択肢パターン!D$2,$V25,0)="","",OFFSET(選択肢パターン!D$2,$V25,0)))</f>
        <v>未実施</v>
      </c>
      <c r="Z25" s="4" t="str">
        <f ca="1">IF($V25="","",IF(OFFSET(選択肢パターン!E$2,$V25,0)="","",OFFSET(選択肢パターン!E$2,$V25,0)))</f>
        <v/>
      </c>
      <c r="AA25" s="4" t="str">
        <f ca="1">IF($V25="","",IF(OFFSET(選択肢パターン!F$2,$V25,0)="","",OFFSET(選択肢パターン!F$2,$V25,0)))</f>
        <v/>
      </c>
      <c r="AB25" s="94">
        <f ca="1">IF($V25="","",IF(OFFSET(選択肢パターン!G$2,$V25,0)="","",OFFSET(選択肢パターン!G$2,$V25,0)))</f>
        <v>1</v>
      </c>
      <c r="AC25" s="94">
        <f ca="1">IF($V25="","",IF(OFFSET(選択肢パターン!H$2,$V25,0)="","",OFFSET(選択肢パターン!H$2,$V25,0)))</f>
        <v>0.5</v>
      </c>
      <c r="AD25" s="94">
        <f ca="1">IF($V25="","",IF(OFFSET(選択肢パターン!I$2,$V25,0)="","",OFFSET(選択肢パターン!I$2,$V25,0)))</f>
        <v>0</v>
      </c>
      <c r="AE25" s="14" t="str">
        <f ca="1">IF($V25="","",IF(OFFSET(選択肢パターン!J$2,$V25,0)="","",OFFSET(選択肢パターン!J$2,$V25,0)))</f>
        <v/>
      </c>
      <c r="AF25" s="14" t="str">
        <f ca="1">IF($V25="","",IF(OFFSET(選択肢パターン!K$2,$V25,0)="","",OFFSET(選択肢パターン!K$2,$V25,0)))</f>
        <v/>
      </c>
    </row>
    <row r="26" spans="2:32" ht="31.5">
      <c r="B26" s="1" t="s">
        <v>577</v>
      </c>
      <c r="C26" s="260" t="e">
        <f ca="1">$F$9*C24</f>
        <v>#N/A</v>
      </c>
      <c r="D26" s="3">
        <v>8</v>
      </c>
      <c r="E26" s="505" t="str">
        <f>VLOOKUP($D26,削減率設定!$C$5:$P$74,2,FALSE)</f>
        <v>エネルギー使用量の見える化</v>
      </c>
      <c r="F26" s="5" t="str">
        <f>VLOOKUP($D26,削減率設定!$C$5:$P$74,3,FALSE)</f>
        <v>・エネルギー使用量のグラフ化､過年度と比較､分析
・東京都の地球温暖化対策報告書制度の活用</v>
      </c>
      <c r="G26" s="105" t="str">
        <f>IF(対策チェック!AH33="","",対策チェック!AH33)</f>
        <v/>
      </c>
      <c r="I26" s="82" t="str">
        <f t="shared" ca="1" si="2"/>
        <v/>
      </c>
      <c r="J26" s="180">
        <f ca="1">IF(IFERROR(OFFSET(削減率設定!$O$3,MATCH($D26,削減率設定!$C$5:$C$74,0)+1,0),0)=0,"-",OFFSET(削減率設定!$O$3,MATCH($D26,削減率設定!$C$5:$C$74,0)+1,0))</f>
        <v>5.0000000000000001E-3</v>
      </c>
      <c r="K26" s="197">
        <f>IFERROR(VLOOKUP(O26,エネルギーシェア!$B$4:$I$23,MATCH("選択中",エネルギーシェア!$B$2:$I$2,0),FALSE)/100,0)+IFERROR(VLOOKUP(P26,エネルギーシェア!$B$4:$I$23,MATCH("選択中",エネルギーシェア!$B$2:$I$2,0),FALSE)/100,0)</f>
        <v>1</v>
      </c>
      <c r="L26" s="54" t="str">
        <f t="shared" ca="1" si="3"/>
        <v>-</v>
      </c>
      <c r="M26" s="15" t="str">
        <f t="shared" ca="1" si="4"/>
        <v>-</v>
      </c>
      <c r="N26" s="34" t="s">
        <v>71</v>
      </c>
      <c r="O26" s="32" t="s">
        <v>56</v>
      </c>
      <c r="P26" s="19"/>
      <c r="Q26" s="134" t="str">
        <f t="shared" ca="1" si="5"/>
        <v>-</v>
      </c>
      <c r="R26" t="str">
        <f ca="1">IF(AND(G26&lt;&gt;W26,OR(Q26=1,AND(Q26=2,COUNTIF(Q$19:Q$28,1)&lt;3),AND(Q26=3,COUNTIF(Q$19:Q$28,2)&lt;2,COUNTIF(Q$19:Q26,3)&lt;2))),"・"&amp;E26&amp;CHAR(13),"")</f>
        <v/>
      </c>
      <c r="T26" s="4"/>
      <c r="U26" s="4"/>
      <c r="V26" s="93">
        <v>1</v>
      </c>
      <c r="W26" s="70" t="str">
        <f ca="1">IF($V26="","",IF(OFFSET(選択肢パターン!B$2,$V26,0)="","",OFFSET(選択肢パターン!B$2,$V26,0)))</f>
        <v>実施済</v>
      </c>
      <c r="X26" s="70" t="str">
        <f ca="1">IF($V26="","",IF(OFFSET(選択肢パターン!C$2,$V26,0)="","",OFFSET(選択肢パターン!C$2,$V26,0)))</f>
        <v>一部実施済</v>
      </c>
      <c r="Y26" s="70" t="str">
        <f ca="1">IF($V26="","",IF(OFFSET(選択肢パターン!D$2,$V26,0)="","",OFFSET(選択肢パターン!D$2,$V26,0)))</f>
        <v>未実施</v>
      </c>
      <c r="Z26" s="4" t="str">
        <f ca="1">IF($V26="","",IF(OFFSET(選択肢パターン!E$2,$V26,0)="","",OFFSET(選択肢パターン!E$2,$V26,0)))</f>
        <v/>
      </c>
      <c r="AA26" s="4" t="str">
        <f ca="1">IF($V26="","",IF(OFFSET(選択肢パターン!F$2,$V26,0)="","",OFFSET(選択肢パターン!F$2,$V26,0)))</f>
        <v/>
      </c>
      <c r="AB26" s="94">
        <f ca="1">IF($V26="","",IF(OFFSET(選択肢パターン!G$2,$V26,0)="","",OFFSET(選択肢パターン!G$2,$V26,0)))</f>
        <v>1</v>
      </c>
      <c r="AC26" s="94">
        <f ca="1">IF($V26="","",IF(OFFSET(選択肢パターン!H$2,$V26,0)="","",OFFSET(選択肢パターン!H$2,$V26,0)))</f>
        <v>0.5</v>
      </c>
      <c r="AD26" s="94">
        <f ca="1">IF($V26="","",IF(OFFSET(選択肢パターン!I$2,$V26,0)="","",OFFSET(選択肢パターン!I$2,$V26,0)))</f>
        <v>0</v>
      </c>
      <c r="AE26" s="14" t="str">
        <f ca="1">IF($V26="","",IF(OFFSET(選択肢パターン!J$2,$V26,0)="","",OFFSET(選択肢パターン!J$2,$V26,0)))</f>
        <v/>
      </c>
      <c r="AF26" s="14" t="str">
        <f ca="1">IF($V26="","",IF(OFFSET(選択肢パターン!K$2,$V26,0)="","",OFFSET(選択肢パターン!K$2,$V26,0)))</f>
        <v/>
      </c>
    </row>
    <row r="27" spans="2:32" ht="31.5">
      <c r="B27" s="263"/>
      <c r="C27" s="256"/>
      <c r="D27" s="3">
        <v>9</v>
      </c>
      <c r="E27" s="505" t="str">
        <f>VLOOKUP($D27,削減率設定!$C$5:$P$74,2,FALSE)</f>
        <v>テナントや従業員との情報共有</v>
      </c>
      <c r="F27" s="5" t="str">
        <f>VLOOKUP($D27,削減率設定!$C$5:$P$74,3,FALSE)</f>
        <v>・エネルギー使用量､省エネ対策実施状況等を共有
・都のPRシートやカーボンレポートの活用</v>
      </c>
      <c r="G27" s="105" t="str">
        <f>IF(対策チェック!AH34="","",対策チェック!AH34)</f>
        <v/>
      </c>
      <c r="I27" s="82" t="str">
        <f t="shared" ca="1" si="2"/>
        <v/>
      </c>
      <c r="J27" s="180">
        <f ca="1">IF(IFERROR(OFFSET(削減率設定!$O$3,MATCH($D27,削減率設定!$C$5:$C$74,0)+1,0),0)=0,"-",OFFSET(削減率設定!$O$3,MATCH($D27,削減率設定!$C$5:$C$74,0)+1,0))</f>
        <v>5.0000000000000001E-3</v>
      </c>
      <c r="K27" s="197">
        <f>IFERROR(VLOOKUP(O27,エネルギーシェア!$B$4:$I$23,MATCH("選択中",エネルギーシェア!$B$2:$I$2,0),FALSE)/100,0)+IFERROR(VLOOKUP(P27,エネルギーシェア!$B$4:$I$23,MATCH("選択中",エネルギーシェア!$B$2:$I$2,0),FALSE)/100,0)</f>
        <v>1</v>
      </c>
      <c r="L27" s="54" t="str">
        <f t="shared" ca="1" si="3"/>
        <v>-</v>
      </c>
      <c r="M27" s="15" t="str">
        <f t="shared" ca="1" si="4"/>
        <v>-</v>
      </c>
      <c r="N27" s="34" t="s">
        <v>71</v>
      </c>
      <c r="O27" s="32" t="s">
        <v>56</v>
      </c>
      <c r="P27" s="19"/>
      <c r="Q27" s="134" t="str">
        <f t="shared" ca="1" si="5"/>
        <v>-</v>
      </c>
      <c r="R27" t="str">
        <f ca="1">IF(AND(G27&lt;&gt;W27,OR(Q27=1,AND(Q27=2,COUNTIF(Q$19:Q$28,1)&lt;3),AND(Q27=3,COUNTIF(Q$19:Q$28,2)&lt;2,COUNTIF(Q$19:Q27,3)&lt;2))),"・"&amp;E27&amp;CHAR(13),"")</f>
        <v/>
      </c>
      <c r="T27" s="4"/>
      <c r="U27" s="4"/>
      <c r="V27" s="93">
        <v>1</v>
      </c>
      <c r="W27" s="70" t="str">
        <f ca="1">IF($V27="","",IF(OFFSET(選択肢パターン!B$2,$V27,0)="","",OFFSET(選択肢パターン!B$2,$V27,0)))</f>
        <v>実施済</v>
      </c>
      <c r="X27" s="70" t="str">
        <f ca="1">IF($V27="","",IF(OFFSET(選択肢パターン!C$2,$V27,0)="","",OFFSET(選択肢パターン!C$2,$V27,0)))</f>
        <v>一部実施済</v>
      </c>
      <c r="Y27" s="70" t="str">
        <f ca="1">IF($V27="","",IF(OFFSET(選択肢パターン!D$2,$V27,0)="","",OFFSET(選択肢パターン!D$2,$V27,0)))</f>
        <v>未実施</v>
      </c>
      <c r="Z27" s="4" t="str">
        <f ca="1">IF($V27="","",IF(OFFSET(選択肢パターン!E$2,$V27,0)="","",OFFSET(選択肢パターン!E$2,$V27,0)))</f>
        <v/>
      </c>
      <c r="AA27" s="4" t="str">
        <f ca="1">IF($V27="","",IF(OFFSET(選択肢パターン!F$2,$V27,0)="","",OFFSET(選択肢パターン!F$2,$V27,0)))</f>
        <v/>
      </c>
      <c r="AB27" s="94">
        <f ca="1">IF($V27="","",IF(OFFSET(選択肢パターン!G$2,$V27,0)="","",OFFSET(選択肢パターン!G$2,$V27,0)))</f>
        <v>1</v>
      </c>
      <c r="AC27" s="94">
        <f ca="1">IF($V27="","",IF(OFFSET(選択肢パターン!H$2,$V27,0)="","",OFFSET(選択肢パターン!H$2,$V27,0)))</f>
        <v>0.5</v>
      </c>
      <c r="AD27" s="94">
        <f ca="1">IF($V27="","",IF(OFFSET(選択肢パターン!I$2,$V27,0)="","",OFFSET(選択肢パターン!I$2,$V27,0)))</f>
        <v>0</v>
      </c>
      <c r="AE27" s="14" t="str">
        <f ca="1">IF($V27="","",IF(OFFSET(選択肢パターン!J$2,$V27,0)="","",OFFSET(選択肢パターン!J$2,$V27,0)))</f>
        <v/>
      </c>
      <c r="AF27" s="14" t="str">
        <f ca="1">IF($V27="","",IF(OFFSET(選択肢パターン!K$2,$V27,0)="","",OFFSET(選択肢パターン!K$2,$V27,0)))</f>
        <v/>
      </c>
    </row>
    <row r="28" spans="2:32" ht="19.5" thickBot="1">
      <c r="B28" s="265"/>
      <c r="C28" s="261"/>
      <c r="D28" s="40">
        <v>10</v>
      </c>
      <c r="E28" s="507" t="str">
        <f>VLOOKUP($D28,削減率設定!$C$5:$P$74,2,FALSE)</f>
        <v>テナントや従業員への啓発活動の推進</v>
      </c>
      <c r="F28" s="41" t="str">
        <f>VLOOKUP($D28,削減率設定!$C$5:$P$74,3,FALSE)</f>
        <v>啓発ポスター等の掲示やイントラネットによる情報発信</v>
      </c>
      <c r="G28" s="105" t="str">
        <f>IF(対策チェック!AH35="","",対策チェック!AH35)</f>
        <v/>
      </c>
      <c r="I28" s="83" t="str">
        <f t="shared" ca="1" si="2"/>
        <v/>
      </c>
      <c r="J28" s="180">
        <f ca="1">IF(IFERROR(OFFSET(削減率設定!$O$3,MATCH($D28,削減率設定!$C$5:$C$74,0)+1,0),0)=0,"-",OFFSET(削減率設定!$O$3,MATCH($D28,削減率設定!$C$5:$C$74,0)+1,0))</f>
        <v>5.0000000000000001E-3</v>
      </c>
      <c r="K28" s="198">
        <f>IFERROR(VLOOKUP(O28,エネルギーシェア!$B$4:$I$23,MATCH("選択中",エネルギーシェア!$B$2:$I$2,0),FALSE)/100,0)+IFERROR(VLOOKUP(P28,エネルギーシェア!$B$4:$I$23,MATCH("選択中",エネルギーシェア!$B$2:$I$2,0),FALSE)/100,0)</f>
        <v>1</v>
      </c>
      <c r="L28" s="55" t="str">
        <f t="shared" ca="1" si="3"/>
        <v>-</v>
      </c>
      <c r="M28" s="43" t="str">
        <f t="shared" ca="1" si="4"/>
        <v>-</v>
      </c>
      <c r="N28" s="53" t="s">
        <v>71</v>
      </c>
      <c r="O28" s="32" t="s">
        <v>56</v>
      </c>
      <c r="P28" s="19"/>
      <c r="Q28" s="134" t="str">
        <f t="shared" ca="1" si="5"/>
        <v>-</v>
      </c>
      <c r="R28" t="str">
        <f ca="1">IF(AND(G28&lt;&gt;W28,OR(Q28=1,AND(Q28=2,COUNTIF(Q$19:Q$28,1)&lt;3),AND(Q28=3,COUNTIF(Q$19:Q$28,2)&lt;2,COUNTIF(Q$19:Q28,3)&lt;2))),"・"&amp;E28&amp;CHAR(13),"")</f>
        <v/>
      </c>
      <c r="T28" s="4"/>
      <c r="U28" s="4"/>
      <c r="V28">
        <v>1</v>
      </c>
      <c r="W28" s="70" t="str">
        <f ca="1">IF($V28="","",IF(OFFSET(選択肢パターン!B$2,$V28,0)="","",OFFSET(選択肢パターン!B$2,$V28,0)))</f>
        <v>実施済</v>
      </c>
      <c r="X28" s="70" t="str">
        <f ca="1">IF($V28="","",IF(OFFSET(選択肢パターン!C$2,$V28,0)="","",OFFSET(選択肢パターン!C$2,$V28,0)))</f>
        <v>一部実施済</v>
      </c>
      <c r="Y28" s="70" t="str">
        <f ca="1">IF($V28="","",IF(OFFSET(選択肢パターン!D$2,$V28,0)="","",OFFSET(選択肢パターン!D$2,$V28,0)))</f>
        <v>未実施</v>
      </c>
      <c r="Z28" s="4" t="str">
        <f ca="1">IF($V28="","",IF(OFFSET(選択肢パターン!E$2,$V28,0)="","",OFFSET(選択肢パターン!E$2,$V28,0)))</f>
        <v/>
      </c>
      <c r="AA28" s="4" t="str">
        <f ca="1">IF($V28="","",IF(OFFSET(選択肢パターン!F$2,$V28,0)="","",OFFSET(選択肢パターン!F$2,$V28,0)))</f>
        <v/>
      </c>
      <c r="AB28" s="94">
        <f ca="1">IF($V28="","",IF(OFFSET(選択肢パターン!G$2,$V28,0)="","",OFFSET(選択肢パターン!G$2,$V28,0)))</f>
        <v>1</v>
      </c>
      <c r="AC28" s="94">
        <f ca="1">IF($V28="","",IF(OFFSET(選択肢パターン!H$2,$V28,0)="","",OFFSET(選択肢パターン!H$2,$V28,0)))</f>
        <v>0.5</v>
      </c>
      <c r="AD28" s="94">
        <f ca="1">IF($V28="","",IF(OFFSET(選択肢パターン!I$2,$V28,0)="","",OFFSET(選択肢パターン!I$2,$V28,0)))</f>
        <v>0</v>
      </c>
      <c r="AE28" s="14" t="str">
        <f ca="1">IF($V28="","",IF(OFFSET(選択肢パターン!J$2,$V28,0)="","",OFFSET(選択肢パターン!J$2,$V28,0)))</f>
        <v/>
      </c>
      <c r="AF28" s="14" t="str">
        <f ca="1">IF($V28="","",IF(OFFSET(選択肢パターン!K$2,$V28,0)="","",OFFSET(選択肢パターン!K$2,$V28,0)))</f>
        <v/>
      </c>
    </row>
    <row r="29" spans="2:32">
      <c r="B29" s="262"/>
      <c r="C29" s="278" t="s">
        <v>461</v>
      </c>
      <c r="D29" s="45">
        <v>11</v>
      </c>
      <c r="E29" s="508" t="str">
        <f>VLOOKUP($D29,削減率設定!$C$5:$P$74,2,FALSE)</f>
        <v>室内温度の適正化</v>
      </c>
      <c r="F29" s="46" t="str">
        <f>VLOOKUP($D29,削減率設定!$C$5:$P$74,3,FALSE)</f>
        <v>事務室の室温を許容範囲で緩和</v>
      </c>
      <c r="G29" s="106" t="str">
        <f>IF(対策チェック!AH36="","",対策チェック!AH36)</f>
        <v/>
      </c>
      <c r="H29" s="312">
        <f t="shared" ref="H29:H53" si="6">IF($C$4="個別",0,1)</f>
        <v>1</v>
      </c>
      <c r="I29" s="84" t="str">
        <f t="shared" ca="1" si="2"/>
        <v/>
      </c>
      <c r="J29" s="511">
        <f ca="1">IF(IFERROR(OFFSET(削減率設定!$O$3,MATCH($D29,削減率設定!$C$5:$C$74,0)+1,0),0)=0,"-",OFFSET(削減率設定!$O$3,MATCH($D29,削減率設定!$C$5:$C$74,0)+1,0))</f>
        <v>1.4999999999999999E-2</v>
      </c>
      <c r="K29" s="199">
        <f ca="1">IFERROR(VLOOKUP(O29,エネルギーシェア!$B$4:$I$23,MATCH("選択中",エネルギーシェア!$B$2:$I$2,0),FALSE)/100,0)+IFERROR(VLOOKUP(P29,エネルギーシェア!$B$4:$I$23,MATCH("選択中",エネルギーシェア!$B$2:$I$2,0),FALSE)/100,0)</f>
        <v>0.45200000000000001</v>
      </c>
      <c r="L29" s="56" t="str">
        <f t="shared" ca="1" si="3"/>
        <v>-</v>
      </c>
      <c r="M29" s="47" t="str">
        <f t="shared" ca="1" si="4"/>
        <v>-</v>
      </c>
      <c r="N29" s="48" t="s">
        <v>71</v>
      </c>
      <c r="O29" s="33" t="str">
        <f>IF($C$4="個別",IF(空調選択用!F3&lt;&gt;"",空調選択用!F3,""),IF(空調選択用!H3&lt;&gt;"",空調選択用!H3,""))</f>
        <v>熱負荷</v>
      </c>
      <c r="P29" s="33" t="str">
        <f>IF($C$4="個別",IF(空調選択用!G3&lt;&gt;"",空調選択用!G3,""),IF(空調選択用!I3&lt;&gt;"",空調選択用!I3,""))</f>
        <v/>
      </c>
      <c r="Q29" s="134" t="str">
        <f ca="1">IFERROR(RANK(L29,$L$29:$L$38),"-")</f>
        <v>-</v>
      </c>
      <c r="R29" t="str">
        <f ca="1">IF(AND(G29&lt;&gt;W29,G29&lt;&gt;AA29,OR(Q29=1,AND(Q29=2,COUNTIF(Q$29:Q$38,1)&lt;3),AND(Q29=3,COUNTIF(Q$29:Q$38,2)&lt;2,COUNTIF(Q$29:Q29,3)&lt;3))),"・"&amp;E29&amp;CHAR(13),"")</f>
        <v/>
      </c>
      <c r="T29" s="4"/>
      <c r="U29" s="4"/>
      <c r="V29">
        <v>2</v>
      </c>
      <c r="W29" s="70" t="str">
        <f ca="1">IF($V29="","",IF(OFFSET(選択肢パターン!B$2,$V29,0)="","",OFFSET(選択肢パターン!B$2,$V29,0)))</f>
        <v>実施済</v>
      </c>
      <c r="X29" s="70" t="str">
        <f ca="1">IF($V29="","",IF(OFFSET(選択肢パターン!C$2,$V29,0)="","",OFFSET(選択肢パターン!C$2,$V29,0)))</f>
        <v>過半で実施済</v>
      </c>
      <c r="Y29" s="70" t="str">
        <f ca="1">IF($V29="","",IF(OFFSET(選択肢パターン!D$2,$V29,0)="","",OFFSET(選択肢パターン!D$2,$V29,0)))</f>
        <v>一部実施済</v>
      </c>
      <c r="Z29" s="4" t="str">
        <f ca="1">IF($V29="","",IF(OFFSET(選択肢パターン!E$2,$V29,0)="","",OFFSET(選択肢パターン!E$2,$V29,0)))</f>
        <v>未実施</v>
      </c>
      <c r="AA29" s="4" t="str">
        <f ca="1">IF($V29="","",IF(OFFSET(選択肢パターン!F$2,$V29,0)="","",OFFSET(選択肢パターン!F$2,$V29,0)))</f>
        <v>該当なし</v>
      </c>
      <c r="AB29" s="94">
        <f ca="1">IF($V29="","",IF(OFFSET(選択肢パターン!G$2,$V29,0)="","",OFFSET(選択肢パターン!G$2,$V29,0)))</f>
        <v>1</v>
      </c>
      <c r="AC29" s="94">
        <f ca="1">IF($V29="","",IF(OFFSET(選択肢パターン!H$2,$V29,0)="","",OFFSET(選択肢パターン!H$2,$V29,0)))</f>
        <v>0.75</v>
      </c>
      <c r="AD29" s="94">
        <f ca="1">IF($V29="","",IF(OFFSET(選択肢パターン!I$2,$V29,0)="","",OFFSET(選択肢パターン!I$2,$V29,0)))</f>
        <v>0.25</v>
      </c>
      <c r="AE29" s="14">
        <f ca="1">IF($V29="","",IF(OFFSET(選択肢パターン!J$2,$V29,0)="","",OFFSET(選択肢パターン!J$2,$V29,0)))</f>
        <v>0</v>
      </c>
      <c r="AF29" s="14" t="str">
        <f ca="1">IF($V29="","",IF(OFFSET(選択肢パターン!K$2,$V29,0)="","",OFFSET(選択肢パターン!K$2,$V29,0)))</f>
        <v/>
      </c>
    </row>
    <row r="30" spans="2:32">
      <c r="B30" s="263"/>
      <c r="C30" s="255" t="s">
        <v>4</v>
      </c>
      <c r="D30" s="3">
        <v>12</v>
      </c>
      <c r="E30" s="505" t="str">
        <f>VLOOKUP($D30,削減率設定!$C$5:$P$74,2,FALSE)</f>
        <v>共用部の温度設定の緩和、停止</v>
      </c>
      <c r="F30" s="5" t="str">
        <f>VLOOKUP($D30,削減率設定!$C$5:$P$74,3,FALSE)</f>
        <v>事務室より1℃緩和又は停止</v>
      </c>
      <c r="G30" s="105" t="str">
        <f>IF(対策チェック!AH37="","",対策チェック!AH37)</f>
        <v/>
      </c>
      <c r="H30" s="25">
        <f t="shared" si="6"/>
        <v>1</v>
      </c>
      <c r="I30" s="82" t="str">
        <f t="shared" ca="1" si="2"/>
        <v/>
      </c>
      <c r="J30" s="512">
        <f ca="1">IF(IFERROR(OFFSET(削減率設定!$O$3,MATCH($D30,削減率設定!$C$5:$C$74,0)+1,0),0)=0,"-",OFFSET(削減率設定!$O$3,MATCH($D30,削減率設定!$C$5:$C$74,0)+1,0))</f>
        <v>5.0000000000000001E-3</v>
      </c>
      <c r="K30" s="197">
        <f ca="1">IFERROR(VLOOKUP(O30,エネルギーシェア!$B$4:$I$23,MATCH("選択中",エネルギーシェア!$B$2:$I$2,0),FALSE)/100,0)+IFERROR(VLOOKUP(P30,エネルギーシェア!$B$4:$I$23,MATCH("選択中",エネルギーシェア!$B$2:$I$2,0),FALSE)/100,0)</f>
        <v>0.45200000000000001</v>
      </c>
      <c r="L30" s="54" t="str">
        <f t="shared" ca="1" si="3"/>
        <v>-</v>
      </c>
      <c r="M30" s="15" t="str">
        <f t="shared" ca="1" si="4"/>
        <v>-</v>
      </c>
      <c r="N30" s="34" t="s">
        <v>71</v>
      </c>
      <c r="O30" s="33" t="str">
        <f>IF($C$4="個別",IF(空調選択用!F4&lt;&gt;"",空調選択用!F4,""),IF(空調選択用!H4&lt;&gt;"",空調選択用!H4,""))</f>
        <v>熱負荷</v>
      </c>
      <c r="P30" s="22" t="str">
        <f>IF($C$4="個別",IF(空調選択用!G4&lt;&gt;"",空調選択用!G4,""),IF(空調選択用!I4&lt;&gt;"",空調選択用!I4,""))</f>
        <v/>
      </c>
      <c r="Q30" s="134" t="str">
        <f t="shared" ref="Q30:Q38" ca="1" si="7">IFERROR(RANK(L30,$L$29:$L$38),"-")</f>
        <v>-</v>
      </c>
      <c r="R30" t="str">
        <f ca="1">IF(AND(G30&lt;&gt;W30,G30&lt;&gt;AA30,OR(Q30=1,AND(Q30=2,COUNTIF(Q$29:Q$38,1)&lt;3),AND(Q30=3,COUNTIF(Q$29:Q$38,2)&lt;2,COUNTIF(Q$29:Q30,3)&lt;3))),"・"&amp;E30&amp;CHAR(13),"")</f>
        <v/>
      </c>
      <c r="T30" s="4"/>
      <c r="U30" s="4"/>
      <c r="V30">
        <v>2</v>
      </c>
      <c r="W30" s="70" t="str">
        <f ca="1">IF($V30="","",IF(OFFSET(選択肢パターン!B$2,$V30,0)="","",OFFSET(選択肢パターン!B$2,$V30,0)))</f>
        <v>実施済</v>
      </c>
      <c r="X30" s="70" t="str">
        <f ca="1">IF($V30="","",IF(OFFSET(選択肢パターン!C$2,$V30,0)="","",OFFSET(選択肢パターン!C$2,$V30,0)))</f>
        <v>過半で実施済</v>
      </c>
      <c r="Y30" s="70" t="str">
        <f ca="1">IF($V30="","",IF(OFFSET(選択肢パターン!D$2,$V30,0)="","",OFFSET(選択肢パターン!D$2,$V30,0)))</f>
        <v>一部実施済</v>
      </c>
      <c r="Z30" s="4" t="str">
        <f ca="1">IF($V30="","",IF(OFFSET(選択肢パターン!E$2,$V30,0)="","",OFFSET(選択肢パターン!E$2,$V30,0)))</f>
        <v>未実施</v>
      </c>
      <c r="AA30" s="4" t="str">
        <f ca="1">IF($V30="","",IF(OFFSET(選択肢パターン!F$2,$V30,0)="","",OFFSET(選択肢パターン!F$2,$V30,0)))</f>
        <v>該当なし</v>
      </c>
      <c r="AB30" s="94">
        <f ca="1">IF($V30="","",IF(OFFSET(選択肢パターン!G$2,$V30,0)="","",OFFSET(選択肢パターン!G$2,$V30,0)))</f>
        <v>1</v>
      </c>
      <c r="AC30" s="94">
        <f ca="1">IF($V30="","",IF(OFFSET(選択肢パターン!H$2,$V30,0)="","",OFFSET(選択肢パターン!H$2,$V30,0)))</f>
        <v>0.75</v>
      </c>
      <c r="AD30" s="94">
        <f ca="1">IF($V30="","",IF(OFFSET(選択肢パターン!I$2,$V30,0)="","",OFFSET(選択肢パターン!I$2,$V30,0)))</f>
        <v>0.25</v>
      </c>
      <c r="AE30" s="14">
        <f ca="1">IF($V30="","",IF(OFFSET(選択肢パターン!J$2,$V30,0)="","",OFFSET(選択肢パターン!J$2,$V30,0)))</f>
        <v>0</v>
      </c>
      <c r="AF30" s="14" t="str">
        <f ca="1">IF($V30="","",IF(OFFSET(選択肢パターン!K$2,$V30,0)="","",OFFSET(選択肢パターン!K$2,$V30,0)))</f>
        <v/>
      </c>
    </row>
    <row r="31" spans="2:32">
      <c r="B31" s="263"/>
      <c r="C31" s="255"/>
      <c r="D31" s="3">
        <v>13</v>
      </c>
      <c r="E31" s="505" t="str">
        <f>VLOOKUP($D31,削減率設定!$C$5:$P$74,2,FALSE)</f>
        <v>実温度の把握と調整</v>
      </c>
      <c r="F31" s="5" t="str">
        <f>VLOOKUP($D31,削減率設定!$C$5:$P$74,3,FALSE)</f>
        <v>温度計を設置し､実際の室温の把握と設定温度を調整</v>
      </c>
      <c r="G31" s="105" t="str">
        <f>IF(対策チェック!AH38="","",対策チェック!AH38)</f>
        <v/>
      </c>
      <c r="H31" s="25">
        <f t="shared" si="6"/>
        <v>1</v>
      </c>
      <c r="I31" s="82" t="str">
        <f t="shared" ca="1" si="2"/>
        <v/>
      </c>
      <c r="J31" s="512">
        <f ca="1">IF(IFERROR(OFFSET(削減率設定!$O$3,MATCH($D31,削減率設定!$C$5:$C$74,0)+1,0),0)=0,"-",OFFSET(削減率設定!$O$3,MATCH($D31,削減率設定!$C$5:$C$74,0)+1,0))</f>
        <v>3.7499999999999999E-3</v>
      </c>
      <c r="K31" s="197">
        <f ca="1">IFERROR(VLOOKUP(O31,エネルギーシェア!$B$4:$I$23,MATCH("選択中",エネルギーシェア!$B$2:$I$2,0),FALSE)/100,0)+IFERROR(VLOOKUP(P31,エネルギーシェア!$B$4:$I$23,MATCH("選択中",エネルギーシェア!$B$2:$I$2,0),FALSE)/100,0)</f>
        <v>0.45200000000000001</v>
      </c>
      <c r="L31" s="54" t="str">
        <f t="shared" ca="1" si="3"/>
        <v>-</v>
      </c>
      <c r="M31" s="15" t="str">
        <f t="shared" ca="1" si="4"/>
        <v>-</v>
      </c>
      <c r="N31" s="34" t="s">
        <v>71</v>
      </c>
      <c r="O31" s="33" t="str">
        <f>IF($C$4="個別",IF(空調選択用!F5&lt;&gt;"",空調選択用!F5,""),IF(空調選択用!H5&lt;&gt;"",空調選択用!H5,""))</f>
        <v>熱負荷</v>
      </c>
      <c r="P31" s="22" t="str">
        <f>IF($C$4="個別",IF(空調選択用!G5&lt;&gt;"",空調選択用!G5,""),IF(空調選択用!I5&lt;&gt;"",空調選択用!I5,""))</f>
        <v/>
      </c>
      <c r="Q31" s="134" t="str">
        <f t="shared" ca="1" si="7"/>
        <v>-</v>
      </c>
      <c r="R31" t="str">
        <f ca="1">IF(AND(G31&lt;&gt;W31,G31&lt;&gt;AA31,OR(Q31=1,AND(Q31=2,COUNTIF(Q$29:Q$38,1)&lt;3),AND(Q31=3,COUNTIF(Q$29:Q$38,2)&lt;2,COUNTIF(Q$29:Q31,3)&lt;3))),"・"&amp;E31&amp;CHAR(13),"")</f>
        <v/>
      </c>
      <c r="T31" s="4"/>
      <c r="U31" s="4"/>
      <c r="V31">
        <v>2</v>
      </c>
      <c r="W31" s="70" t="str">
        <f ca="1">IF($V31="","",IF(OFFSET(選択肢パターン!B$2,$V31,0)="","",OFFSET(選択肢パターン!B$2,$V31,0)))</f>
        <v>実施済</v>
      </c>
      <c r="X31" s="70" t="str">
        <f ca="1">IF($V31="","",IF(OFFSET(選択肢パターン!C$2,$V31,0)="","",OFFSET(選択肢パターン!C$2,$V31,0)))</f>
        <v>過半で実施済</v>
      </c>
      <c r="Y31" s="70" t="str">
        <f ca="1">IF($V31="","",IF(OFFSET(選択肢パターン!D$2,$V31,0)="","",OFFSET(選択肢パターン!D$2,$V31,0)))</f>
        <v>一部実施済</v>
      </c>
      <c r="Z31" s="4" t="str">
        <f ca="1">IF($V31="","",IF(OFFSET(選択肢パターン!E$2,$V31,0)="","",OFFSET(選択肢パターン!E$2,$V31,0)))</f>
        <v>未実施</v>
      </c>
      <c r="AA31" s="4" t="str">
        <f ca="1">IF($V31="","",IF(OFFSET(選択肢パターン!F$2,$V31,0)="","",OFFSET(選択肢パターン!F$2,$V31,0)))</f>
        <v>該当なし</v>
      </c>
      <c r="AB31" s="94">
        <f ca="1">IF($V31="","",IF(OFFSET(選択肢パターン!G$2,$V31,0)="","",OFFSET(選択肢パターン!G$2,$V31,0)))</f>
        <v>1</v>
      </c>
      <c r="AC31" s="94">
        <f ca="1">IF($V31="","",IF(OFFSET(選択肢パターン!H$2,$V31,0)="","",OFFSET(選択肢パターン!H$2,$V31,0)))</f>
        <v>0.75</v>
      </c>
      <c r="AD31" s="94">
        <f ca="1">IF($V31="","",IF(OFFSET(選択肢パターン!I$2,$V31,0)="","",OFFSET(選択肢パターン!I$2,$V31,0)))</f>
        <v>0.25</v>
      </c>
      <c r="AE31" s="14">
        <f ca="1">IF($V31="","",IF(OFFSET(選択肢パターン!J$2,$V31,0)="","",OFFSET(選択肢パターン!J$2,$V31,0)))</f>
        <v>0</v>
      </c>
      <c r="AF31" s="14" t="str">
        <f ca="1">IF($V31="","",IF(OFFSET(選択肢パターン!K$2,$V31,0)="","",OFFSET(選択肢パターン!K$2,$V31,0)))</f>
        <v/>
      </c>
    </row>
    <row r="32" spans="2:32" ht="31.5">
      <c r="B32" s="263"/>
      <c r="C32" s="256"/>
      <c r="D32" s="3">
        <v>14</v>
      </c>
      <c r="E32" s="505" t="str">
        <f>VLOOKUP($D32,削減率設定!$C$5:$P$74,2,FALSE)</f>
        <v>温度分布の適正化</v>
      </c>
      <c r="F32" s="5" t="str">
        <f>VLOOKUP($D32,削減率設定!$C$5:$P$74,3,FALSE)</f>
        <v>温度分布の把握､改善（例：サーキュレーターの設置等）</v>
      </c>
      <c r="G32" s="105" t="str">
        <f>IF(対策チェック!AH39="","",対策チェック!AH39)</f>
        <v/>
      </c>
      <c r="H32" s="25">
        <f t="shared" si="6"/>
        <v>1</v>
      </c>
      <c r="I32" s="82" t="str">
        <f t="shared" ca="1" si="2"/>
        <v/>
      </c>
      <c r="J32" s="512">
        <f ca="1">IF(IFERROR(OFFSET(削減率設定!$O$3,MATCH($D32,削減率設定!$C$5:$C$74,0)+1,0),0)=0,"-",OFFSET(削減率設定!$O$3,MATCH($D32,削減率設定!$C$5:$C$74,0)+1,0))</f>
        <v>3.7499999999999999E-3</v>
      </c>
      <c r="K32" s="197">
        <f ca="1">IFERROR(VLOOKUP(O32,エネルギーシェア!$B$4:$I$23,MATCH("選択中",エネルギーシェア!$B$2:$I$2,0),FALSE)/100,0)+IFERROR(VLOOKUP(P32,エネルギーシェア!$B$4:$I$23,MATCH("選択中",エネルギーシェア!$B$2:$I$2,0),FALSE)/100,0)</f>
        <v>0.45200000000000001</v>
      </c>
      <c r="L32" s="54" t="str">
        <f t="shared" ca="1" si="3"/>
        <v>-</v>
      </c>
      <c r="M32" s="15" t="str">
        <f t="shared" ca="1" si="4"/>
        <v>-</v>
      </c>
      <c r="N32" s="34" t="s">
        <v>71</v>
      </c>
      <c r="O32" s="33" t="str">
        <f>IF($C$4="個別",IF(空調選択用!F6&lt;&gt;"",空調選択用!F6,""),IF(空調選択用!H6&lt;&gt;"",空調選択用!H6,""))</f>
        <v>熱負荷</v>
      </c>
      <c r="P32" s="22" t="str">
        <f>IF($C$4="個別",IF(空調選択用!G6&lt;&gt;"",空調選択用!G6,""),IF(空調選択用!I6&lt;&gt;"",空調選択用!I6,""))</f>
        <v/>
      </c>
      <c r="Q32" s="134" t="str">
        <f t="shared" ca="1" si="7"/>
        <v>-</v>
      </c>
      <c r="R32" t="str">
        <f ca="1">IF(AND(G32&lt;&gt;W32,G32&lt;&gt;AA32,OR(Q32=1,AND(Q32=2,COUNTIF(Q$29:Q$38,1)&lt;3),AND(Q32=3,COUNTIF(Q$29:Q$38,2)&lt;2,COUNTIF(Q$29:Q32,3)&lt;3))),"・"&amp;E32&amp;CHAR(13),"")</f>
        <v/>
      </c>
      <c r="T32" s="4"/>
      <c r="U32" s="4"/>
      <c r="V32">
        <v>2</v>
      </c>
      <c r="W32" s="70" t="str">
        <f ca="1">IF($V32="","",IF(OFFSET(選択肢パターン!B$2,$V32,0)="","",OFFSET(選択肢パターン!B$2,$V32,0)))</f>
        <v>実施済</v>
      </c>
      <c r="X32" s="70" t="str">
        <f ca="1">IF($V32="","",IF(OFFSET(選択肢パターン!C$2,$V32,0)="","",OFFSET(選択肢パターン!C$2,$V32,0)))</f>
        <v>過半で実施済</v>
      </c>
      <c r="Y32" s="70" t="str">
        <f ca="1">IF($V32="","",IF(OFFSET(選択肢パターン!D$2,$V32,0)="","",OFFSET(選択肢パターン!D$2,$V32,0)))</f>
        <v>一部実施済</v>
      </c>
      <c r="Z32" s="4" t="str">
        <f ca="1">IF($V32="","",IF(OFFSET(選択肢パターン!E$2,$V32,0)="","",OFFSET(選択肢パターン!E$2,$V32,0)))</f>
        <v>未実施</v>
      </c>
      <c r="AA32" s="4" t="str">
        <f ca="1">IF($V32="","",IF(OFFSET(選択肢パターン!F$2,$V32,0)="","",OFFSET(選択肢パターン!F$2,$V32,0)))</f>
        <v>該当なし</v>
      </c>
      <c r="AB32" s="94">
        <f ca="1">IF($V32="","",IF(OFFSET(選択肢パターン!G$2,$V32,0)="","",OFFSET(選択肢パターン!G$2,$V32,0)))</f>
        <v>1</v>
      </c>
      <c r="AC32" s="94">
        <f ca="1">IF($V32="","",IF(OFFSET(選択肢パターン!H$2,$V32,0)="","",OFFSET(選択肢パターン!H$2,$V32,0)))</f>
        <v>0.75</v>
      </c>
      <c r="AD32" s="94">
        <f ca="1">IF($V32="","",IF(OFFSET(選択肢パターン!I$2,$V32,0)="","",OFFSET(選択肢パターン!I$2,$V32,0)))</f>
        <v>0.25</v>
      </c>
      <c r="AE32" s="14">
        <f ca="1">IF($V32="","",IF(OFFSET(選択肢パターン!J$2,$V32,0)="","",OFFSET(選択肢パターン!J$2,$V32,0)))</f>
        <v>0</v>
      </c>
      <c r="AF32" s="14" t="str">
        <f ca="1">IF($V32="","",IF(OFFSET(選択肢パターン!K$2,$V32,0)="","",OFFSET(選択肢パターン!K$2,$V32,0)))</f>
        <v/>
      </c>
    </row>
    <row r="33" spans="2:32" ht="24">
      <c r="B33" s="264" t="s">
        <v>345</v>
      </c>
      <c r="C33" s="266">
        <f ca="1">SUM(L29:L38)</f>
        <v>0</v>
      </c>
      <c r="D33" s="3">
        <v>15</v>
      </c>
      <c r="E33" s="505" t="str">
        <f>VLOOKUP($D33,削減率設定!$C$5:$P$74,2,FALSE)</f>
        <v>空調機の温湿度センサー設置環境の改善</v>
      </c>
      <c r="F33" s="5" t="str">
        <f>VLOOKUP($D33,削減率設定!$C$5:$P$74,3,FALSE)</f>
        <v>センサー付近の温度ムラの確認､解消</v>
      </c>
      <c r="G33" s="105" t="str">
        <f>IF(対策チェック!AH40="","",対策チェック!AH40)</f>
        <v/>
      </c>
      <c r="H33" s="25">
        <f t="shared" si="6"/>
        <v>1</v>
      </c>
      <c r="I33" s="82" t="str">
        <f t="shared" ca="1" si="2"/>
        <v/>
      </c>
      <c r="J33" s="512">
        <f ca="1">IF(IFERROR(OFFSET(削減率設定!$O$3,MATCH($D33,削減率設定!$C$5:$C$74,0)+1,0),0)=0,"-",OFFSET(削減率設定!$O$3,MATCH($D33,削減率設定!$C$5:$C$74,0)+1,0))</f>
        <v>3.7499999999999999E-3</v>
      </c>
      <c r="K33" s="197">
        <f ca="1">IFERROR(VLOOKUP(O33,エネルギーシェア!$B$4:$I$23,MATCH("選択中",エネルギーシェア!$B$2:$I$2,0),FALSE)/100,0)+IFERROR(VLOOKUP(P33,エネルギーシェア!$B$4:$I$23,MATCH("選択中",エネルギーシェア!$B$2:$I$2,0),FALSE)/100,0)</f>
        <v>0.45200000000000001</v>
      </c>
      <c r="L33" s="54" t="str">
        <f t="shared" ca="1" si="3"/>
        <v>-</v>
      </c>
      <c r="M33" s="15" t="str">
        <f t="shared" ca="1" si="4"/>
        <v>-</v>
      </c>
      <c r="N33" s="34" t="s">
        <v>71</v>
      </c>
      <c r="O33" s="33" t="str">
        <f>IF($C$4="個別",IF(空調選択用!F7&lt;&gt;"",空調選択用!F7,""),IF(空調選択用!H7&lt;&gt;"",空調選択用!H7,""))</f>
        <v>熱負荷</v>
      </c>
      <c r="P33" s="22" t="str">
        <f>IF($C$4="個別",IF(空調選択用!G7&lt;&gt;"",空調選択用!G7,""),IF(空調選択用!I7&lt;&gt;"",空調選択用!I7,""))</f>
        <v/>
      </c>
      <c r="Q33" s="134" t="str">
        <f t="shared" ca="1" si="7"/>
        <v>-</v>
      </c>
      <c r="R33" t="str">
        <f ca="1">IF(AND(G33&lt;&gt;W33,G33&lt;&gt;AA33,OR(Q33=1,AND(Q33=2,COUNTIF(Q$29:Q$38,1)&lt;3),AND(Q33=3,COUNTIF(Q$29:Q$38,2)&lt;2,COUNTIF(Q$29:Q33,3)&lt;3))),"・"&amp;E33&amp;CHAR(13),"")</f>
        <v/>
      </c>
      <c r="T33" s="4"/>
      <c r="U33" s="4"/>
      <c r="V33">
        <v>2</v>
      </c>
      <c r="W33" s="70" t="str">
        <f ca="1">IF($V33="","",IF(OFFSET(選択肢パターン!B$2,$V33,0)="","",OFFSET(選択肢パターン!B$2,$V33,0)))</f>
        <v>実施済</v>
      </c>
      <c r="X33" s="70" t="str">
        <f ca="1">IF($V33="","",IF(OFFSET(選択肢パターン!C$2,$V33,0)="","",OFFSET(選択肢パターン!C$2,$V33,0)))</f>
        <v>過半で実施済</v>
      </c>
      <c r="Y33" s="70" t="str">
        <f ca="1">IF($V33="","",IF(OFFSET(選択肢パターン!D$2,$V33,0)="","",OFFSET(選択肢パターン!D$2,$V33,0)))</f>
        <v>一部実施済</v>
      </c>
      <c r="Z33" s="4" t="str">
        <f ca="1">IF($V33="","",IF(OFFSET(選択肢パターン!E$2,$V33,0)="","",OFFSET(選択肢パターン!E$2,$V33,0)))</f>
        <v>未実施</v>
      </c>
      <c r="AA33" s="4" t="str">
        <f ca="1">IF($V33="","",IF(OFFSET(選択肢パターン!F$2,$V33,0)="","",OFFSET(選択肢パターン!F$2,$V33,0)))</f>
        <v>該当なし</v>
      </c>
      <c r="AB33" s="94">
        <f ca="1">IF($V33="","",IF(OFFSET(選択肢パターン!G$2,$V33,0)="","",OFFSET(選択肢パターン!G$2,$V33,0)))</f>
        <v>1</v>
      </c>
      <c r="AC33" s="94">
        <f ca="1">IF($V33="","",IF(OFFSET(選択肢パターン!H$2,$V33,0)="","",OFFSET(選択肢パターン!H$2,$V33,0)))</f>
        <v>0.75</v>
      </c>
      <c r="AD33" s="94">
        <f ca="1">IF($V33="","",IF(OFFSET(選択肢パターン!I$2,$V33,0)="","",OFFSET(選択肢パターン!I$2,$V33,0)))</f>
        <v>0.25</v>
      </c>
      <c r="AE33" s="14">
        <f ca="1">IF($V33="","",IF(OFFSET(選択肢パターン!J$2,$V33,0)="","",OFFSET(選択肢パターン!J$2,$V33,0)))</f>
        <v>0</v>
      </c>
      <c r="AF33" s="14" t="str">
        <f ca="1">IF($V33="","",IF(OFFSET(選択肢パターン!K$2,$V33,0)="","",OFFSET(選択肢パターン!K$2,$V33,0)))</f>
        <v/>
      </c>
    </row>
    <row r="34" spans="2:32" ht="37.5">
      <c r="B34" s="254" t="s">
        <v>349</v>
      </c>
      <c r="C34" s="267">
        <f ca="1">SUM(M29:M38)</f>
        <v>0</v>
      </c>
      <c r="D34" s="3">
        <v>16</v>
      </c>
      <c r="E34" s="505" t="str">
        <f>VLOOKUP($D34,削減率設定!$C$5:$P$74,2,FALSE)</f>
        <v>出入口からの外気侵入防止</v>
      </c>
      <c r="F34" s="5" t="str">
        <f>VLOOKUP($D34,削減率設定!$C$5:$P$74,3,FALSE)</f>
        <v>出入口等の開放部分の削減</v>
      </c>
      <c r="G34" s="105" t="str">
        <f>IF(対策チェック!AH41="","",対策チェック!AH41)</f>
        <v/>
      </c>
      <c r="H34" s="25">
        <f t="shared" si="6"/>
        <v>1</v>
      </c>
      <c r="I34" s="82" t="str">
        <f t="shared" ca="1" si="2"/>
        <v/>
      </c>
      <c r="J34" s="512">
        <f ca="1">IF(IFERROR(OFFSET(削減率設定!$O$3,MATCH($D34,削減率設定!$C$5:$C$74,0)+1,0),0)=0,"-",OFFSET(削減率設定!$O$3,MATCH($D34,削減率設定!$C$5:$C$74,0)+1,0))</f>
        <v>5.0000000000000001E-3</v>
      </c>
      <c r="K34" s="197">
        <f ca="1">IFERROR(VLOOKUP(O34,エネルギーシェア!$B$4:$I$23,MATCH("選択中",エネルギーシェア!$B$2:$I$2,0),FALSE)/100,0)+IFERROR(VLOOKUP(P34,エネルギーシェア!$B$4:$I$23,MATCH("選択中",エネルギーシェア!$B$2:$I$2,0),FALSE)/100,0)</f>
        <v>0.45200000000000001</v>
      </c>
      <c r="L34" s="54" t="str">
        <f t="shared" ca="1" si="3"/>
        <v>-</v>
      </c>
      <c r="M34" s="15" t="str">
        <f t="shared" ca="1" si="4"/>
        <v>-</v>
      </c>
      <c r="N34" s="34" t="s">
        <v>71</v>
      </c>
      <c r="O34" s="33" t="str">
        <f>IF($C$4="個別",IF(空調選択用!F8&lt;&gt;"",空調選択用!F8,""),IF(空調選択用!H8&lt;&gt;"",空調選択用!H8,""))</f>
        <v>熱負荷</v>
      </c>
      <c r="P34" s="22" t="str">
        <f>IF($C$4="個別",IF(空調選択用!G8&lt;&gt;"",空調選択用!G8,""),IF(空調選択用!I8&lt;&gt;"",空調選択用!I8,""))</f>
        <v/>
      </c>
      <c r="Q34" s="134" t="str">
        <f t="shared" ca="1" si="7"/>
        <v>-</v>
      </c>
      <c r="R34" t="str">
        <f ca="1">IF(AND(G34&lt;&gt;W34,G34&lt;&gt;AA34,OR(Q34=1,AND(Q34=2,COUNTIF(Q$29:Q$38,1)&lt;3),AND(Q34=3,COUNTIF(Q$29:Q$38,2)&lt;2,COUNTIF(Q$29:Q34,3)&lt;3))),"・"&amp;E34&amp;CHAR(13),"")</f>
        <v/>
      </c>
      <c r="T34" s="4"/>
      <c r="U34" s="4"/>
      <c r="V34">
        <v>2</v>
      </c>
      <c r="W34" s="70" t="str">
        <f ca="1">IF($V34="","",IF(OFFSET(選択肢パターン!B$2,$V34,0)="","",OFFSET(選択肢パターン!B$2,$V34,0)))</f>
        <v>実施済</v>
      </c>
      <c r="X34" s="70" t="str">
        <f ca="1">IF($V34="","",IF(OFFSET(選択肢パターン!C$2,$V34,0)="","",OFFSET(選択肢パターン!C$2,$V34,0)))</f>
        <v>過半で実施済</v>
      </c>
      <c r="Y34" s="70" t="str">
        <f ca="1">IF($V34="","",IF(OFFSET(選択肢パターン!D$2,$V34,0)="","",OFFSET(選択肢パターン!D$2,$V34,0)))</f>
        <v>一部実施済</v>
      </c>
      <c r="Z34" s="4" t="str">
        <f ca="1">IF($V34="","",IF(OFFSET(選択肢パターン!E$2,$V34,0)="","",OFFSET(選択肢パターン!E$2,$V34,0)))</f>
        <v>未実施</v>
      </c>
      <c r="AA34" s="4" t="str">
        <f ca="1">IF($V34="","",IF(OFFSET(選択肢パターン!F$2,$V34,0)="","",OFFSET(選択肢パターン!F$2,$V34,0)))</f>
        <v>該当なし</v>
      </c>
      <c r="AB34" s="94">
        <f ca="1">IF($V34="","",IF(OFFSET(選択肢パターン!G$2,$V34,0)="","",OFFSET(選択肢パターン!G$2,$V34,0)))</f>
        <v>1</v>
      </c>
      <c r="AC34" s="94">
        <f ca="1">IF($V34="","",IF(OFFSET(選択肢パターン!H$2,$V34,0)="","",OFFSET(選択肢パターン!H$2,$V34,0)))</f>
        <v>0.75</v>
      </c>
      <c r="AD34" s="94">
        <f ca="1">IF($V34="","",IF(OFFSET(選択肢パターン!I$2,$V34,0)="","",OFFSET(選択肢パターン!I$2,$V34,0)))</f>
        <v>0.25</v>
      </c>
      <c r="AE34" s="14">
        <f ca="1">IF($V34="","",IF(OFFSET(選択肢パターン!J$2,$V34,0)="","",OFFSET(選択肢パターン!J$2,$V34,0)))</f>
        <v>0</v>
      </c>
      <c r="AF34" s="14" t="str">
        <f ca="1">IF($V34="","",IF(OFFSET(選択肢パターン!K$2,$V34,0)="","",OFFSET(選択肢パターン!K$2,$V34,0)))</f>
        <v/>
      </c>
    </row>
    <row r="35" spans="2:32" ht="37.5">
      <c r="B35" s="254" t="s">
        <v>350</v>
      </c>
      <c r="C35" s="359">
        <f ca="1">10*SUM(I29:I38)/(10-COUNTIF(G29:G38,"該当なし"))</f>
        <v>0</v>
      </c>
      <c r="D35" s="3">
        <v>17</v>
      </c>
      <c r="E35" s="505" t="str">
        <f>VLOOKUP($D35,削減率設定!$C$5:$P$74,2,FALSE)</f>
        <v>空調運転時間の適正化</v>
      </c>
      <c r="F35" s="5" t="str">
        <f>VLOOKUP($D35,削減率設定!$C$5:$P$74,3,FALSE)</f>
        <v>事務室の室使用時刻に合わせて起動運転､停止</v>
      </c>
      <c r="G35" s="105" t="str">
        <f>IF(対策チェック!AH42="","",対策チェック!AH42)</f>
        <v/>
      </c>
      <c r="H35" s="25">
        <f t="shared" si="6"/>
        <v>1</v>
      </c>
      <c r="I35" s="82" t="str">
        <f t="shared" ca="1" si="2"/>
        <v/>
      </c>
      <c r="J35" s="512">
        <f ca="1">IF(IFERROR(OFFSET(削減率設定!$O$3,MATCH($D35,削減率設定!$C$5:$C$74,0)+1,0),0)=0,"-",OFFSET(削減率設定!$O$3,MATCH($D35,削減率設定!$C$5:$C$74,0)+1,0))</f>
        <v>1.2999999999999999E-2</v>
      </c>
      <c r="K35" s="197">
        <f ca="1">IFERROR(VLOOKUP(O35,エネルギーシェア!$B$4:$I$23,MATCH("選択中",エネルギーシェア!$B$2:$I$2,0),FALSE)/100,0)+IFERROR(VLOOKUP(P35,エネルギーシェア!$B$4:$I$23,MATCH("選択中",エネルギーシェア!$B$2:$I$2,0),FALSE)/100,0)</f>
        <v>0.45200000000000001</v>
      </c>
      <c r="L35" s="54" t="str">
        <f t="shared" ca="1" si="3"/>
        <v>-</v>
      </c>
      <c r="M35" s="15" t="str">
        <f t="shared" ca="1" si="4"/>
        <v>-</v>
      </c>
      <c r="N35" s="34" t="s">
        <v>71</v>
      </c>
      <c r="O35" s="33" t="str">
        <f>IF($C$4="個別",IF(空調選択用!F9&lt;&gt;"",空調選択用!F9,""),IF(空調選択用!H9&lt;&gt;"",空調選択用!H9,""))</f>
        <v>熱負荷</v>
      </c>
      <c r="P35" s="22" t="str">
        <f>IF($C$4="個別",IF(空調選択用!G9&lt;&gt;"",空調選択用!G9,""),IF(空調選択用!I9&lt;&gt;"",空調選択用!I9,""))</f>
        <v/>
      </c>
      <c r="Q35" s="134" t="str">
        <f t="shared" ca="1" si="7"/>
        <v>-</v>
      </c>
      <c r="R35" t="str">
        <f ca="1">IF(AND(G35&lt;&gt;W35,G35&lt;&gt;AA35,OR(Q35=1,AND(Q35=2,COUNTIF(Q$29:Q$38,1)&lt;3),AND(Q35=3,COUNTIF(Q$29:Q$38,2)&lt;2,COUNTIF(Q$29:Q35,3)&lt;3))),"・"&amp;E35&amp;CHAR(13),"")</f>
        <v/>
      </c>
      <c r="T35" s="4"/>
      <c r="U35" s="4"/>
      <c r="V35">
        <v>2</v>
      </c>
      <c r="W35" s="70" t="str">
        <f ca="1">IF($V35="","",IF(OFFSET(選択肢パターン!B$2,$V35,0)="","",OFFSET(選択肢パターン!B$2,$V35,0)))</f>
        <v>実施済</v>
      </c>
      <c r="X35" s="70" t="str">
        <f ca="1">IF($V35="","",IF(OFFSET(選択肢パターン!C$2,$V35,0)="","",OFFSET(選択肢パターン!C$2,$V35,0)))</f>
        <v>過半で実施済</v>
      </c>
      <c r="Y35" s="70" t="str">
        <f ca="1">IF($V35="","",IF(OFFSET(選択肢パターン!D$2,$V35,0)="","",OFFSET(選択肢パターン!D$2,$V35,0)))</f>
        <v>一部実施済</v>
      </c>
      <c r="Z35" s="4" t="str">
        <f ca="1">IF($V35="","",IF(OFFSET(選択肢パターン!E$2,$V35,0)="","",OFFSET(選択肢パターン!E$2,$V35,0)))</f>
        <v>未実施</v>
      </c>
      <c r="AA35" s="4" t="str">
        <f ca="1">IF($V35="","",IF(OFFSET(選択肢パターン!F$2,$V35,0)="","",OFFSET(選択肢パターン!F$2,$V35,0)))</f>
        <v>該当なし</v>
      </c>
      <c r="AB35" s="94">
        <f ca="1">IF($V35="","",IF(OFFSET(選択肢パターン!G$2,$V35,0)="","",OFFSET(選択肢パターン!G$2,$V35,0)))</f>
        <v>1</v>
      </c>
      <c r="AC35" s="94">
        <f ca="1">IF($V35="","",IF(OFFSET(選択肢パターン!H$2,$V35,0)="","",OFFSET(選択肢パターン!H$2,$V35,0)))</f>
        <v>0.75</v>
      </c>
      <c r="AD35" s="94">
        <f ca="1">IF($V35="","",IF(OFFSET(選択肢パターン!I$2,$V35,0)="","",OFFSET(選択肢パターン!I$2,$V35,0)))</f>
        <v>0.25</v>
      </c>
      <c r="AE35" s="14">
        <f ca="1">IF($V35="","",IF(OFFSET(選択肢パターン!J$2,$V35,0)="","",OFFSET(選択肢パターン!J$2,$V35,0)))</f>
        <v>0</v>
      </c>
      <c r="AF35" s="14" t="str">
        <f ca="1">IF($V35="","",IF(OFFSET(選択肢パターン!K$2,$V35,0)="","",OFFSET(選択肢パターン!K$2,$V35,0)))</f>
        <v/>
      </c>
    </row>
    <row r="36" spans="2:32">
      <c r="B36" s="1" t="s">
        <v>577</v>
      </c>
      <c r="C36" s="260" t="e">
        <f ca="1">$F$9*C34</f>
        <v>#N/A</v>
      </c>
      <c r="D36" s="3">
        <v>18</v>
      </c>
      <c r="E36" s="505" t="str">
        <f>VLOOKUP($D36,削減率設定!$C$5:$P$74,2,FALSE)</f>
        <v>非使用室、時間の空調停止</v>
      </c>
      <c r="F36" s="5" t="str">
        <f>VLOOKUP($D36,削減率設定!$C$5:$P$74,3,FALSE)</f>
        <v>オン・オフするルールの設定､周知､点検</v>
      </c>
      <c r="G36" s="105" t="str">
        <f>IF(対策チェック!AH43="","",対策チェック!AH43)</f>
        <v/>
      </c>
      <c r="H36" s="25">
        <f t="shared" si="6"/>
        <v>1</v>
      </c>
      <c r="I36" s="82" t="str">
        <f t="shared" ca="1" si="2"/>
        <v/>
      </c>
      <c r="J36" s="512">
        <f ca="1">IF(IFERROR(OFFSET(削減率設定!$O$3,MATCH($D36,削減率設定!$C$5:$C$74,0)+1,0),0)=0,"-",OFFSET(削減率設定!$O$3,MATCH($D36,削減率設定!$C$5:$C$74,0)+1,0))</f>
        <v>5.0000000000000001E-3</v>
      </c>
      <c r="K36" s="197">
        <f ca="1">IFERROR(VLOOKUP(O36,エネルギーシェア!$B$4:$I$23,MATCH("選択中",エネルギーシェア!$B$2:$I$2,0),FALSE)/100,0)+IFERROR(VLOOKUP(P36,エネルギーシェア!$B$4:$I$23,MATCH("選択中",エネルギーシェア!$B$2:$I$2,0),FALSE)/100,0)</f>
        <v>0.45200000000000001</v>
      </c>
      <c r="L36" s="54" t="str">
        <f t="shared" ca="1" si="3"/>
        <v>-</v>
      </c>
      <c r="M36" s="15" t="str">
        <f t="shared" ca="1" si="4"/>
        <v>-</v>
      </c>
      <c r="N36" s="34" t="s">
        <v>71</v>
      </c>
      <c r="O36" s="33" t="str">
        <f>IF($C$4="個別",IF(空調選択用!F10&lt;&gt;"",空調選択用!F10,""),IF(空調選択用!H10&lt;&gt;"",空調選択用!H10,""))</f>
        <v>熱負荷</v>
      </c>
      <c r="P36" s="22" t="str">
        <f>IF($C$4="個別",IF(空調選択用!G10&lt;&gt;"",空調選択用!G10,""),IF(空調選択用!I10&lt;&gt;"",空調選択用!I10,""))</f>
        <v/>
      </c>
      <c r="Q36" s="134" t="str">
        <f t="shared" ca="1" si="7"/>
        <v>-</v>
      </c>
      <c r="R36" t="str">
        <f ca="1">IF(AND(G36&lt;&gt;W36,G36&lt;&gt;AA36,OR(Q36=1,AND(Q36=2,COUNTIF(Q$29:Q$38,1)&lt;3),AND(Q36=3,COUNTIF(Q$29:Q$38,2)&lt;2,COUNTIF(Q$29:Q36,3)&lt;3))),"・"&amp;E36&amp;CHAR(13),"")</f>
        <v/>
      </c>
      <c r="T36" s="4"/>
      <c r="U36" s="4"/>
      <c r="V36">
        <v>2</v>
      </c>
      <c r="W36" s="70" t="str">
        <f ca="1">IF($V36="","",IF(OFFSET(選択肢パターン!B$2,$V36,0)="","",OFFSET(選択肢パターン!B$2,$V36,0)))</f>
        <v>実施済</v>
      </c>
      <c r="X36" s="70" t="str">
        <f ca="1">IF($V36="","",IF(OFFSET(選択肢パターン!C$2,$V36,0)="","",OFFSET(選択肢パターン!C$2,$V36,0)))</f>
        <v>過半で実施済</v>
      </c>
      <c r="Y36" s="70" t="str">
        <f ca="1">IF($V36="","",IF(OFFSET(選択肢パターン!D$2,$V36,0)="","",OFFSET(選択肢パターン!D$2,$V36,0)))</f>
        <v>一部実施済</v>
      </c>
      <c r="Z36" s="4" t="str">
        <f ca="1">IF($V36="","",IF(OFFSET(選択肢パターン!E$2,$V36,0)="","",OFFSET(選択肢パターン!E$2,$V36,0)))</f>
        <v>未実施</v>
      </c>
      <c r="AA36" s="4" t="str">
        <f ca="1">IF($V36="","",IF(OFFSET(選択肢パターン!F$2,$V36,0)="","",OFFSET(選択肢パターン!F$2,$V36,0)))</f>
        <v>該当なし</v>
      </c>
      <c r="AB36" s="94">
        <f ca="1">IF($V36="","",IF(OFFSET(選択肢パターン!G$2,$V36,0)="","",OFFSET(選択肢パターン!G$2,$V36,0)))</f>
        <v>1</v>
      </c>
      <c r="AC36" s="94">
        <f ca="1">IF($V36="","",IF(OFFSET(選択肢パターン!H$2,$V36,0)="","",OFFSET(選択肢パターン!H$2,$V36,0)))</f>
        <v>0.75</v>
      </c>
      <c r="AD36" s="94">
        <f ca="1">IF($V36="","",IF(OFFSET(選択肢パターン!I$2,$V36,0)="","",OFFSET(選択肢パターン!I$2,$V36,0)))</f>
        <v>0.25</v>
      </c>
      <c r="AE36" s="14">
        <f ca="1">IF($V36="","",IF(OFFSET(選択肢パターン!J$2,$V36,0)="","",OFFSET(選択肢パターン!J$2,$V36,0)))</f>
        <v>0</v>
      </c>
      <c r="AF36" s="14" t="str">
        <f ca="1">IF($V36="","",IF(OFFSET(選択肢パターン!K$2,$V36,0)="","",OFFSET(選択肢パターン!K$2,$V36,0)))</f>
        <v/>
      </c>
    </row>
    <row r="37" spans="2:32">
      <c r="B37" s="263"/>
      <c r="C37" s="256"/>
      <c r="D37" s="40">
        <v>19</v>
      </c>
      <c r="E37" s="505" t="str">
        <f>VLOOKUP($D37,削減率設定!$C$5:$P$74,2,FALSE)</f>
        <v>空調運転開始時の外気導入停止</v>
      </c>
      <c r="F37" s="5" t="str">
        <f>VLOOKUP($D37,削減率設定!$C$5:$P$74,3,FALSE)</f>
        <v>始業前の外気導入を抑制又は停止</v>
      </c>
      <c r="G37" s="105" t="str">
        <f>IF(対策チェック!AH44="","",対策チェック!AH44)</f>
        <v/>
      </c>
      <c r="H37" s="25">
        <f t="shared" si="6"/>
        <v>1</v>
      </c>
      <c r="I37" s="82" t="str">
        <f t="shared" ca="1" si="2"/>
        <v/>
      </c>
      <c r="J37" s="512">
        <f ca="1">IF(IFERROR(OFFSET(削減率設定!$O$3,MATCH($D37,削減率設定!$C$5:$C$74,0)+1,0),0)=0,"-",OFFSET(削減率設定!$O$3,MATCH($D37,削減率設定!$C$5:$C$74,0)+1,0))</f>
        <v>1.4999999999999999E-2</v>
      </c>
      <c r="K37" s="197">
        <f ca="1">IFERROR(VLOOKUP(O37,エネルギーシェア!$B$4:$I$23,MATCH("選択中",エネルギーシェア!$B$2:$I$2,0),FALSE)/100,0)+IFERROR(VLOOKUP(P37,エネルギーシェア!$B$4:$I$23,MATCH("選択中",エネルギーシェア!$B$2:$I$2,0),FALSE)/100,0)</f>
        <v>0.13600000000000001</v>
      </c>
      <c r="L37" s="54" t="str">
        <f t="shared" ca="1" si="3"/>
        <v>-</v>
      </c>
      <c r="M37" s="15" t="str">
        <f t="shared" ca="1" si="4"/>
        <v>-</v>
      </c>
      <c r="N37" s="34" t="s">
        <v>71</v>
      </c>
      <c r="O37" s="33" t="str">
        <f>IF($C$4="個別",IF(空調選択用!F11&lt;&gt;"",空調選択用!F11,""),IF(空調選択用!H11&lt;&gt;"",空調選択用!H11,""))</f>
        <v>外気</v>
      </c>
      <c r="P37" s="22" t="str">
        <f>IF($C$4="個別",IF(空調選択用!G11&lt;&gt;"",空調選択用!G11,""),IF(空調選択用!I11&lt;&gt;"",空調選択用!I11,""))</f>
        <v/>
      </c>
      <c r="Q37" s="134" t="str">
        <f t="shared" ca="1" si="7"/>
        <v>-</v>
      </c>
      <c r="R37" t="str">
        <f ca="1">IF(AND(G37&lt;&gt;W37,G37&lt;&gt;AA37,OR(Q37=1,AND(Q37=2,COUNTIF(Q$29:Q$38,1)&lt;3),AND(Q37=3,COUNTIF(Q$29:Q$38,2)&lt;2,COUNTIF(Q$29:Q37,3)&lt;3))),"・"&amp;E37&amp;CHAR(13),"")</f>
        <v/>
      </c>
      <c r="T37" s="4"/>
      <c r="U37" s="4"/>
      <c r="V37">
        <v>2</v>
      </c>
      <c r="W37" s="70" t="str">
        <f ca="1">IF($V37="","",IF(OFFSET(選択肢パターン!B$2,$V37,0)="","",OFFSET(選択肢パターン!B$2,$V37,0)))</f>
        <v>実施済</v>
      </c>
      <c r="X37" s="70" t="str">
        <f ca="1">IF($V37="","",IF(OFFSET(選択肢パターン!C$2,$V37,0)="","",OFFSET(選択肢パターン!C$2,$V37,0)))</f>
        <v>過半で実施済</v>
      </c>
      <c r="Y37" s="70" t="str">
        <f ca="1">IF($V37="","",IF(OFFSET(選択肢パターン!D$2,$V37,0)="","",OFFSET(選択肢パターン!D$2,$V37,0)))</f>
        <v>一部実施済</v>
      </c>
      <c r="Z37" s="4" t="str">
        <f ca="1">IF($V37="","",IF(OFFSET(選択肢パターン!E$2,$V37,0)="","",OFFSET(選択肢パターン!E$2,$V37,0)))</f>
        <v>未実施</v>
      </c>
      <c r="AA37" s="4" t="str">
        <f ca="1">IF($V37="","",IF(OFFSET(選択肢パターン!F$2,$V37,0)="","",OFFSET(選択肢パターン!F$2,$V37,0)))</f>
        <v>該当なし</v>
      </c>
      <c r="AB37" s="94">
        <f ca="1">IF($V37="","",IF(OFFSET(選択肢パターン!G$2,$V37,0)="","",OFFSET(選択肢パターン!G$2,$V37,0)))</f>
        <v>1</v>
      </c>
      <c r="AC37" s="94">
        <f ca="1">IF($V37="","",IF(OFFSET(選択肢パターン!H$2,$V37,0)="","",OFFSET(選択肢パターン!H$2,$V37,0)))</f>
        <v>0.75</v>
      </c>
      <c r="AD37" s="94">
        <f ca="1">IF($V37="","",IF(OFFSET(選択肢パターン!I$2,$V37,0)="","",OFFSET(選択肢パターン!I$2,$V37,0)))</f>
        <v>0.25</v>
      </c>
      <c r="AE37" s="14">
        <f ca="1">IF($V37="","",IF(OFFSET(選択肢パターン!J$2,$V37,0)="","",OFFSET(選択肢パターン!J$2,$V37,0)))</f>
        <v>0</v>
      </c>
      <c r="AF37" s="14" t="str">
        <f ca="1">IF($V37="","",IF(OFFSET(選択肢パターン!K$2,$V37,0)="","",OFFSET(選択肢パターン!K$2,$V37,0)))</f>
        <v/>
      </c>
    </row>
    <row r="38" spans="2:32" ht="32.25" thickBot="1">
      <c r="B38" s="265"/>
      <c r="C38" s="269"/>
      <c r="D38" s="40">
        <v>20</v>
      </c>
      <c r="E38" s="507" t="str">
        <f>VLOOKUP($D38,削減率設定!$C$5:$P$74,2,FALSE)</f>
        <v>空調設備のフィンコイル、フィルターの清掃</v>
      </c>
      <c r="F38" s="41" t="str">
        <f>VLOOKUP($D38,削減率設定!$C$5:$P$74,3,FALSE)</f>
        <v>フィンコイル：1回/3年程度
フィルター：2回/年程度</v>
      </c>
      <c r="G38" s="107" t="str">
        <f>IF(対策チェック!AH45="","",対策チェック!AH45)</f>
        <v/>
      </c>
      <c r="H38" s="25">
        <f t="shared" si="6"/>
        <v>1</v>
      </c>
      <c r="I38" s="83" t="str">
        <f t="shared" ca="1" si="2"/>
        <v/>
      </c>
      <c r="J38" s="513">
        <f ca="1">IF(IFERROR(OFFSET(削減率設定!$O$3,MATCH($D38,削減率設定!$C$5:$C$74,0)+1,0),0)=0,"-",OFFSET(削減率設定!$O$3,MATCH($D38,削減率設定!$C$5:$C$74,0)+1,0))</f>
        <v>2E-3</v>
      </c>
      <c r="K38" s="198">
        <f ca="1">IFERROR(VLOOKUP(O38,エネルギーシェア!$B$4:$I$23,MATCH("選択中",エネルギーシェア!$B$2:$I$2,0),FALSE)/100,0)+IFERROR(VLOOKUP(P38,エネルギーシェア!$B$4:$I$23,MATCH("選択中",エネルギーシェア!$B$2:$I$2,0),FALSE)/100,0)</f>
        <v>0.25800000000000001</v>
      </c>
      <c r="L38" s="55" t="str">
        <f t="shared" ca="1" si="3"/>
        <v>-</v>
      </c>
      <c r="M38" s="43" t="str">
        <f t="shared" ca="1" si="4"/>
        <v>-</v>
      </c>
      <c r="N38" s="53" t="s">
        <v>71</v>
      </c>
      <c r="O38" s="33" t="str">
        <f>IF($C$4="個別",IF(空調選択用!F12&lt;&gt;"",空調選択用!F12,""),IF(空調選択用!H12&lt;&gt;"",空調選択用!H12,""))</f>
        <v>熱源</v>
      </c>
      <c r="P38" s="22" t="str">
        <f>IF($C$4="個別",IF(空調選択用!G12&lt;&gt;"",空調選択用!G12,""),IF(空調選択用!I12&lt;&gt;"",空調選択用!I12,""))</f>
        <v/>
      </c>
      <c r="Q38" s="134" t="str">
        <f t="shared" ca="1" si="7"/>
        <v>-</v>
      </c>
      <c r="R38" t="str">
        <f ca="1">IF(AND(G38&lt;&gt;W38,G38&lt;&gt;AA38,OR(Q38=1,AND(Q38=2,COUNTIF(Q$29:Q$38,1)&lt;3),AND(Q38=3,COUNTIF(Q$29:Q$38,2)&lt;2,COUNTIF(Q$29:Q38,3)&lt;3))),"・"&amp;E38&amp;CHAR(13),"")</f>
        <v/>
      </c>
      <c r="T38" s="4"/>
      <c r="U38" s="4"/>
      <c r="V38">
        <v>2</v>
      </c>
      <c r="W38" s="70" t="str">
        <f ca="1">IF($V38="","",IF(OFFSET(選択肢パターン!B$2,$V38,0)="","",OFFSET(選択肢パターン!B$2,$V38,0)))</f>
        <v>実施済</v>
      </c>
      <c r="X38" s="70" t="str">
        <f ca="1">IF($V38="","",IF(OFFSET(選択肢パターン!C$2,$V38,0)="","",OFFSET(選択肢パターン!C$2,$V38,0)))</f>
        <v>過半で実施済</v>
      </c>
      <c r="Y38" s="70" t="str">
        <f ca="1">IF($V38="","",IF(OFFSET(選択肢パターン!D$2,$V38,0)="","",OFFSET(選択肢パターン!D$2,$V38,0)))</f>
        <v>一部実施済</v>
      </c>
      <c r="Z38" s="4" t="str">
        <f ca="1">IF($V38="","",IF(OFFSET(選択肢パターン!E$2,$V38,0)="","",OFFSET(選択肢パターン!E$2,$V38,0)))</f>
        <v>未実施</v>
      </c>
      <c r="AA38" s="4" t="str">
        <f ca="1">IF($V38="","",IF(OFFSET(選択肢パターン!F$2,$V38,0)="","",OFFSET(選択肢パターン!F$2,$V38,0)))</f>
        <v>該当なし</v>
      </c>
      <c r="AB38" s="94">
        <f ca="1">IF($V38="","",IF(OFFSET(選択肢パターン!G$2,$V38,0)="","",OFFSET(選択肢パターン!G$2,$V38,0)))</f>
        <v>1</v>
      </c>
      <c r="AC38" s="94">
        <f ca="1">IF($V38="","",IF(OFFSET(選択肢パターン!H$2,$V38,0)="","",OFFSET(選択肢パターン!H$2,$V38,0)))</f>
        <v>0.75</v>
      </c>
      <c r="AD38" s="94">
        <f ca="1">IF($V38="","",IF(OFFSET(選択肢パターン!I$2,$V38,0)="","",OFFSET(選択肢パターン!I$2,$V38,0)))</f>
        <v>0.25</v>
      </c>
      <c r="AE38" s="14">
        <f ca="1">IF($V38="","",IF(OFFSET(選択肢パターン!J$2,$V38,0)="","",OFFSET(選択肢パターン!J$2,$V38,0)))</f>
        <v>0</v>
      </c>
      <c r="AF38" s="14" t="str">
        <f ca="1">IF($V38="","",IF(OFFSET(選択肢パターン!K$2,$V38,0)="","",OFFSET(選択肢パターン!K$2,$V38,0)))</f>
        <v/>
      </c>
    </row>
    <row r="39" spans="2:32" ht="31.5">
      <c r="B39" s="262"/>
      <c r="C39" s="278" t="s">
        <v>475</v>
      </c>
      <c r="D39" s="45">
        <v>21</v>
      </c>
      <c r="E39" s="508" t="str">
        <f>VLOOKUP($D39,削減率設定!$C$5:$P$74,2,FALSE)</f>
        <v>空調スイッチの操作制限</v>
      </c>
      <c r="F39" s="46" t="str">
        <f>VLOOKUP($D39,削減率設定!$C$5:$P$74,3,FALSE)</f>
        <v>・空調スイッチの温度変更範囲を制限
・室温が管理値となる設定温度に統一</v>
      </c>
      <c r="G39" s="106" t="str">
        <f>IF(対策チェック!AH46="","",対策チェック!AH46)</f>
        <v/>
      </c>
      <c r="H39" s="312">
        <f t="shared" si="6"/>
        <v>1</v>
      </c>
      <c r="I39" s="84" t="str">
        <f t="shared" ca="1" si="2"/>
        <v/>
      </c>
      <c r="J39" s="511">
        <f ca="1">IF(IFERROR(OFFSET(削減率設定!$O$3,MATCH($D39,削減率設定!$C$5:$C$74,0)+1,0),0)=0,"-",OFFSET(削減率設定!$O$3,MATCH($D39,削減率設定!$C$5:$C$74,0)+1,0))</f>
        <v>1.4999999999999999E-2</v>
      </c>
      <c r="K39" s="199">
        <f ca="1">IFERROR(VLOOKUP(O39,エネルギーシェア!$B$4:$I$23,MATCH("選択中",エネルギーシェア!$B$2:$I$2,0),FALSE)/100,0)+IFERROR(VLOOKUP(P39,エネルギーシェア!$B$4:$I$23,MATCH("選択中",エネルギーシェア!$B$2:$I$2,0),FALSE)/100,0)</f>
        <v>0.45200000000000001</v>
      </c>
      <c r="L39" s="56" t="str">
        <f t="shared" ca="1" si="3"/>
        <v>-</v>
      </c>
      <c r="M39" s="47" t="str">
        <f t="shared" ca="1" si="4"/>
        <v>-</v>
      </c>
      <c r="N39" s="48" t="s">
        <v>71</v>
      </c>
      <c r="O39" s="33" t="str">
        <f>IF($C$4="個別",IF(空調選択用!F13&lt;&gt;"",空調選択用!F13,""),IF(空調選択用!H13&lt;&gt;"",空調選択用!H13,""))</f>
        <v>熱負荷</v>
      </c>
      <c r="P39" s="22" t="str">
        <f>IF($C$4="個別",IF(空調選択用!G13&lt;&gt;"",空調選択用!G13,""),IF(空調選択用!I13&lt;&gt;"",空調選択用!I13,""))</f>
        <v/>
      </c>
      <c r="Q39" s="134" t="str">
        <f ca="1">IFERROR(RANK(L39,$L$39:$L$53),"-")</f>
        <v>-</v>
      </c>
      <c r="R39" t="str">
        <f ca="1">IF(AND(G39&lt;&gt;W39,G39&lt;&gt;AA39,OR(Q39=1,AND(Q39=2,COUNTIF(Q$39:Q$53,1)&lt;3),AND(Q39=3,COUNTIF(Q$39:Q$53,2)&lt;2,COUNTIF(Q$39:Q39,3)&lt;3))),"・"&amp;E39&amp;CHAR(13),"")</f>
        <v/>
      </c>
      <c r="T39" s="4"/>
      <c r="U39" s="4"/>
      <c r="V39">
        <v>2</v>
      </c>
      <c r="W39" s="70" t="str">
        <f ca="1">IF($V39="","",IF(OFFSET(選択肢パターン!B$2,$V39,0)="","",OFFSET(選択肢パターン!B$2,$V39,0)))</f>
        <v>実施済</v>
      </c>
      <c r="X39" s="70" t="str">
        <f ca="1">IF($V39="","",IF(OFFSET(選択肢パターン!C$2,$V39,0)="","",OFFSET(選択肢パターン!C$2,$V39,0)))</f>
        <v>過半で実施済</v>
      </c>
      <c r="Y39" s="70" t="str">
        <f ca="1">IF($V39="","",IF(OFFSET(選択肢パターン!D$2,$V39,0)="","",OFFSET(選択肢パターン!D$2,$V39,0)))</f>
        <v>一部実施済</v>
      </c>
      <c r="Z39" s="4" t="str">
        <f ca="1">IF($V39="","",IF(OFFSET(選択肢パターン!E$2,$V39,0)="","",OFFSET(選択肢パターン!E$2,$V39,0)))</f>
        <v>未実施</v>
      </c>
      <c r="AA39" s="4" t="str">
        <f ca="1">IF($V39="","",IF(OFFSET(選択肢パターン!F$2,$V39,0)="","",OFFSET(選択肢パターン!F$2,$V39,0)))</f>
        <v>該当なし</v>
      </c>
      <c r="AB39" s="94">
        <f ca="1">IF($V39="","",IF(OFFSET(選択肢パターン!G$2,$V39,0)="","",OFFSET(選択肢パターン!G$2,$V39,0)))</f>
        <v>1</v>
      </c>
      <c r="AC39" s="94">
        <f ca="1">IF($V39="","",IF(OFFSET(選択肢パターン!H$2,$V39,0)="","",OFFSET(選択肢パターン!H$2,$V39,0)))</f>
        <v>0.75</v>
      </c>
      <c r="AD39" s="94">
        <f ca="1">IF($V39="","",IF(OFFSET(選択肢パターン!I$2,$V39,0)="","",OFFSET(選択肢パターン!I$2,$V39,0)))</f>
        <v>0.25</v>
      </c>
      <c r="AE39" s="14">
        <f ca="1">IF($V39="","",IF(OFFSET(選択肢パターン!J$2,$V39,0)="","",OFFSET(選択肢パターン!J$2,$V39,0)))</f>
        <v>0</v>
      </c>
      <c r="AF39" s="14" t="str">
        <f ca="1">IF($V39="","",IF(OFFSET(選択肢パターン!K$2,$V39,0)="","",OFFSET(選択肢パターン!K$2,$V39,0)))</f>
        <v/>
      </c>
    </row>
    <row r="40" spans="2:32" ht="31.5">
      <c r="B40" s="263"/>
      <c r="C40" s="255" t="s">
        <v>474</v>
      </c>
      <c r="D40" s="3">
        <v>22</v>
      </c>
      <c r="E40" s="505" t="str">
        <f>VLOOKUP($D40,削減率設定!$C$5:$P$74,2,FALSE)</f>
        <v>空調の範囲、オン・オフのルールを明確化</v>
      </c>
      <c r="F40" s="5" t="str">
        <f>VLOOKUP($D40,削減率設定!$C$5:$P$74,3,FALSE)</f>
        <v>空調スイッチ付近に空調範囲図､オン・オフのルールを表示</v>
      </c>
      <c r="G40" s="105" t="str">
        <f>IF(対策チェック!AH47="","",対策チェック!AH47)</f>
        <v/>
      </c>
      <c r="H40" s="25">
        <f t="shared" si="6"/>
        <v>1</v>
      </c>
      <c r="I40" s="82" t="str">
        <f t="shared" ca="1" si="2"/>
        <v/>
      </c>
      <c r="J40" s="512">
        <f ca="1">IF(IFERROR(OFFSET(削減率設定!$O$3,MATCH($D40,削減率設定!$C$5:$C$74,0)+1,0),0)=0,"-",OFFSET(削減率設定!$O$3,MATCH($D40,削減率設定!$C$5:$C$74,0)+1,0))</f>
        <v>3.7499999999999999E-3</v>
      </c>
      <c r="K40" s="197">
        <f ca="1">IFERROR(VLOOKUP(O40,エネルギーシェア!$B$4:$I$23,MATCH("選択中",エネルギーシェア!$B$2:$I$2,0),FALSE)/100,0)+IFERROR(VLOOKUP(P40,エネルギーシェア!$B$4:$I$23,MATCH("選択中",エネルギーシェア!$B$2:$I$2,0),FALSE)/100,0)</f>
        <v>0.25800000000000001</v>
      </c>
      <c r="L40" s="54" t="str">
        <f t="shared" ca="1" si="3"/>
        <v>-</v>
      </c>
      <c r="M40" s="15" t="str">
        <f t="shared" ca="1" si="4"/>
        <v>-</v>
      </c>
      <c r="N40" s="34" t="s">
        <v>71</v>
      </c>
      <c r="O40" s="33" t="str">
        <f>IF($C$4="個別",IF(空調選択用!F14&lt;&gt;"",空調選択用!F14,""),IF(空調選択用!H14&lt;&gt;"",空調選択用!H14,""))</f>
        <v>熱源</v>
      </c>
      <c r="P40" s="22" t="str">
        <f>IF($C$4="個別",IF(空調選択用!G14&lt;&gt;"",空調選択用!G14,""),IF(空調選択用!I14&lt;&gt;"",空調選択用!I14,""))</f>
        <v/>
      </c>
      <c r="Q40" s="134" t="str">
        <f t="shared" ref="Q40:Q53" ca="1" si="8">IFERROR(RANK(L40,$L$39:$L$53),"-")</f>
        <v>-</v>
      </c>
      <c r="R40" t="str">
        <f ca="1">IF(AND(G40&lt;&gt;W40,G40&lt;&gt;AA40,OR(Q40=1,AND(Q40=2,COUNTIF(Q$39:Q$53,1)&lt;3),AND(Q40=3,COUNTIF(Q$39:Q$53,2)&lt;2,COUNTIF(Q$39:Q40,3)&lt;3))),"・"&amp;E40&amp;CHAR(13),"")</f>
        <v/>
      </c>
      <c r="T40" s="4"/>
      <c r="U40" s="4"/>
      <c r="V40">
        <v>2</v>
      </c>
      <c r="W40" s="70" t="str">
        <f ca="1">IF($V40="","",IF(OFFSET(選択肢パターン!B$2,$V40,0)="","",OFFSET(選択肢パターン!B$2,$V40,0)))</f>
        <v>実施済</v>
      </c>
      <c r="X40" s="70" t="str">
        <f ca="1">IF($V40="","",IF(OFFSET(選択肢パターン!C$2,$V40,0)="","",OFFSET(選択肢パターン!C$2,$V40,0)))</f>
        <v>過半で実施済</v>
      </c>
      <c r="Y40" s="70" t="str">
        <f ca="1">IF($V40="","",IF(OFFSET(選択肢パターン!D$2,$V40,0)="","",OFFSET(選択肢パターン!D$2,$V40,0)))</f>
        <v>一部実施済</v>
      </c>
      <c r="Z40" s="4" t="str">
        <f ca="1">IF($V40="","",IF(OFFSET(選択肢パターン!E$2,$V40,0)="","",OFFSET(選択肢パターン!E$2,$V40,0)))</f>
        <v>未実施</v>
      </c>
      <c r="AA40" s="4" t="str">
        <f ca="1">IF($V40="","",IF(OFFSET(選択肢パターン!F$2,$V40,0)="","",OFFSET(選択肢パターン!F$2,$V40,0)))</f>
        <v>該当なし</v>
      </c>
      <c r="AB40" s="94">
        <f ca="1">IF($V40="","",IF(OFFSET(選択肢パターン!G$2,$V40,0)="","",OFFSET(選択肢パターン!G$2,$V40,0)))</f>
        <v>1</v>
      </c>
      <c r="AC40" s="94">
        <f ca="1">IF($V40="","",IF(OFFSET(選択肢パターン!H$2,$V40,0)="","",OFFSET(選択肢パターン!H$2,$V40,0)))</f>
        <v>0.75</v>
      </c>
      <c r="AD40" s="94">
        <f ca="1">IF($V40="","",IF(OFFSET(選択肢パターン!I$2,$V40,0)="","",OFFSET(選択肢パターン!I$2,$V40,0)))</f>
        <v>0.25</v>
      </c>
      <c r="AE40" s="14">
        <f ca="1">IF($V40="","",IF(OFFSET(選択肢パターン!J$2,$V40,0)="","",OFFSET(選択肢パターン!J$2,$V40,0)))</f>
        <v>0</v>
      </c>
      <c r="AF40" s="14" t="str">
        <f ca="1">IF($V40="","",IF(OFFSET(選択肢パターン!K$2,$V40,0)="","",OFFSET(選択肢パターン!K$2,$V40,0)))</f>
        <v/>
      </c>
    </row>
    <row r="41" spans="2:32" ht="33" customHeight="1">
      <c r="B41" s="263"/>
      <c r="C41" s="256"/>
      <c r="D41" s="40">
        <v>23</v>
      </c>
      <c r="E41" s="506" t="str">
        <f>VLOOKUP($D41,削減率設定!$C$5:$P$74,2,FALSE)</f>
        <v>パッケージ形空調機の風量調整</v>
      </c>
      <c r="F41" s="5" t="str">
        <f>VLOOKUP($D41,削減率設定!$C$5:$P$74,3,FALSE)</f>
        <v>夏季は、運転効率のよい風量「強」や「自動」で運用</v>
      </c>
      <c r="G41" s="105" t="str">
        <f>IF(対策チェック!AH48="","",対策チェック!AH48)</f>
        <v/>
      </c>
      <c r="H41" s="25">
        <f t="shared" si="6"/>
        <v>1</v>
      </c>
      <c r="I41" s="82" t="str">
        <f t="shared" ca="1" si="2"/>
        <v/>
      </c>
      <c r="J41" s="512">
        <f ca="1">IF(IFERROR(OFFSET(削減率設定!$O$3,MATCH($D41,削減率設定!$C$5:$C$74,0)+1,0),0)=0,"-",OFFSET(削減率設定!$O$3,MATCH($D41,削減率設定!$C$5:$C$74,0)+1,0))</f>
        <v>2.5000000000000001E-2</v>
      </c>
      <c r="K41" s="197">
        <f ca="1">IFERROR(VLOOKUP(O41,エネルギーシェア!$B$4:$I$23,MATCH("選択中",エネルギーシェア!$B$2:$I$2,0),FALSE)/100,0)+IFERROR(VLOOKUP(P41,エネルギーシェア!$B$4:$I$23,MATCH("選択中",エネルギーシェア!$B$2:$I$2,0),FALSE)/100,0)</f>
        <v>0.25800000000000001</v>
      </c>
      <c r="L41" s="54" t="str">
        <f t="shared" ca="1" si="3"/>
        <v>-</v>
      </c>
      <c r="M41" s="15" t="str">
        <f t="shared" ca="1" si="4"/>
        <v>-</v>
      </c>
      <c r="N41" s="34" t="s">
        <v>71</v>
      </c>
      <c r="O41" s="33" t="str">
        <f>IF($C$4="個別",IF(空調選択用!F15&lt;&gt;"",空調選択用!F15,""),IF(空調選択用!H15&lt;&gt;"",空調選択用!H15,""))</f>
        <v>熱源</v>
      </c>
      <c r="P41" s="22" t="str">
        <f>IF($C$4="個別",IF(空調選択用!G15&lt;&gt;"",空調選択用!G15,""),IF(空調選択用!I15&lt;&gt;"",空調選択用!I15,""))</f>
        <v/>
      </c>
      <c r="Q41" s="134" t="str">
        <f t="shared" ca="1" si="8"/>
        <v>-</v>
      </c>
      <c r="R41" t="str">
        <f ca="1">IF(AND(G41&lt;&gt;W41,G41&lt;&gt;AA41,OR(Q41=1,AND(Q41=2,COUNTIF(Q$39:Q$53,1)&lt;3),AND(Q41=3,COUNTIF(Q$39:Q$53,2)&lt;2,COUNTIF(Q$39:Q41,3)&lt;3))),"・"&amp;E41&amp;CHAR(13),"")</f>
        <v/>
      </c>
      <c r="T41" s="4"/>
      <c r="U41" s="4"/>
      <c r="V41">
        <v>2</v>
      </c>
      <c r="W41" s="70" t="str">
        <f ca="1">IF($V41="","",IF(OFFSET(選択肢パターン!B$2,$V41,0)="","",OFFSET(選択肢パターン!B$2,$V41,0)))</f>
        <v>実施済</v>
      </c>
      <c r="X41" s="70" t="str">
        <f ca="1">IF($V41="","",IF(OFFSET(選択肢パターン!C$2,$V41,0)="","",OFFSET(選択肢パターン!C$2,$V41,0)))</f>
        <v>過半で実施済</v>
      </c>
      <c r="Y41" s="70" t="str">
        <f ca="1">IF($V41="","",IF(OFFSET(選択肢パターン!D$2,$V41,0)="","",OFFSET(選択肢パターン!D$2,$V41,0)))</f>
        <v>一部実施済</v>
      </c>
      <c r="Z41" s="4" t="str">
        <f ca="1">IF($V41="","",IF(OFFSET(選択肢パターン!E$2,$V41,0)="","",OFFSET(選択肢パターン!E$2,$V41,0)))</f>
        <v>未実施</v>
      </c>
      <c r="AA41" s="4" t="str">
        <f ca="1">IF($V41="","",IF(OFFSET(選択肢パターン!F$2,$V41,0)="","",OFFSET(選択肢パターン!F$2,$V41,0)))</f>
        <v>該当なし</v>
      </c>
      <c r="AB41" s="94">
        <f ca="1">IF($V41="","",IF(OFFSET(選択肢パターン!G$2,$V41,0)="","",OFFSET(選択肢パターン!G$2,$V41,0)))</f>
        <v>1</v>
      </c>
      <c r="AC41" s="94">
        <f ca="1">IF($V41="","",IF(OFFSET(選択肢パターン!H$2,$V41,0)="","",OFFSET(選択肢パターン!H$2,$V41,0)))</f>
        <v>0.75</v>
      </c>
      <c r="AD41" s="94">
        <f ca="1">IF($V41="","",IF(OFFSET(選択肢パターン!I$2,$V41,0)="","",OFFSET(選択肢パターン!I$2,$V41,0)))</f>
        <v>0.25</v>
      </c>
      <c r="AE41" s="14">
        <f ca="1">IF($V41="","",IF(OFFSET(選択肢パターン!J$2,$V41,0)="","",OFFSET(選択肢パターン!J$2,$V41,0)))</f>
        <v>0</v>
      </c>
      <c r="AF41" s="14" t="str">
        <f ca="1">IF($V41="","",IF(OFFSET(選択肢パターン!K$2,$V41,0)="","",OFFSET(選択肢パターン!K$2,$V41,0)))</f>
        <v/>
      </c>
    </row>
    <row r="42" spans="2:32" ht="33" customHeight="1">
      <c r="B42" s="263"/>
      <c r="C42" s="256"/>
      <c r="D42" s="3">
        <v>24</v>
      </c>
      <c r="E42" s="505" t="str">
        <f>VLOOKUP($D42,削減率設定!$C$5:$P$74,2,FALSE)</f>
        <v>空調室外機置き場の環境整備</v>
      </c>
      <c r="F42" s="5" t="str">
        <f>VLOOKUP($D42,削減率設定!$C$5:$P$74,3,FALSE)</f>
        <v>空調室外機の設置状態を点検､改善（例：日よけ､ショートサーキット防止等）</v>
      </c>
      <c r="G42" s="105" t="str">
        <f>IF(対策チェック!AH49="","",対策チェック!AH49)</f>
        <v/>
      </c>
      <c r="H42" s="25">
        <f t="shared" si="6"/>
        <v>1</v>
      </c>
      <c r="I42" s="82" t="str">
        <f t="shared" ca="1" si="2"/>
        <v/>
      </c>
      <c r="J42" s="512">
        <f ca="1">IF(IFERROR(OFFSET(削減率設定!$O$3,MATCH($D42,削減率設定!$C$5:$C$74,0)+1,0),0)=0,"-",OFFSET(削減率設定!$O$3,MATCH($D42,削減率設定!$C$5:$C$74,0)+1,0))</f>
        <v>2E-3</v>
      </c>
      <c r="K42" s="197">
        <f ca="1">IFERROR(VLOOKUP(O42,エネルギーシェア!$B$4:$I$23,MATCH("選択中",エネルギーシェア!$B$2:$I$2,0),FALSE)/100,0)+IFERROR(VLOOKUP(P42,エネルギーシェア!$B$4:$I$23,MATCH("選択中",エネルギーシェア!$B$2:$I$2,0),FALSE)/100,0)</f>
        <v>0.25800000000000001</v>
      </c>
      <c r="L42" s="54" t="str">
        <f t="shared" ca="1" si="3"/>
        <v>-</v>
      </c>
      <c r="M42" s="15" t="str">
        <f t="shared" ca="1" si="4"/>
        <v>-</v>
      </c>
      <c r="N42" s="34" t="s">
        <v>71</v>
      </c>
      <c r="O42" s="33" t="str">
        <f>IF($C$4="個別",IF(空調選択用!F16&lt;&gt;"",空調選択用!F16,""),IF(空調選択用!H16&lt;&gt;"",空調選択用!H16,""))</f>
        <v>熱源</v>
      </c>
      <c r="P42" s="22" t="str">
        <f>IF($C$4="個別",IF(空調選択用!G16&lt;&gt;"",空調選択用!G16,""),IF(空調選択用!I16&lt;&gt;"",空調選択用!I16,""))</f>
        <v/>
      </c>
      <c r="Q42" s="134" t="str">
        <f t="shared" ca="1" si="8"/>
        <v>-</v>
      </c>
      <c r="R42" t="str">
        <f ca="1">IF(AND(G42&lt;&gt;W42,G42&lt;&gt;AA42,OR(Q42=1,AND(Q42=2,COUNTIF(Q$39:Q$53,1)&lt;3),AND(Q42=3,COUNTIF(Q$39:Q$53,2)&lt;2,COUNTIF(Q$39:Q42,3)&lt;3))),"・"&amp;E42&amp;CHAR(13),"")</f>
        <v/>
      </c>
      <c r="T42" s="4"/>
      <c r="U42" s="4"/>
      <c r="V42">
        <v>2</v>
      </c>
      <c r="W42" s="70" t="str">
        <f ca="1">IF($V42="","",IF(OFFSET(選択肢パターン!B$2,$V42,0)="","",OFFSET(選択肢パターン!B$2,$V42,0)))</f>
        <v>実施済</v>
      </c>
      <c r="X42" s="70" t="str">
        <f ca="1">IF($V42="","",IF(OFFSET(選択肢パターン!C$2,$V42,0)="","",OFFSET(選択肢パターン!C$2,$V42,0)))</f>
        <v>過半で実施済</v>
      </c>
      <c r="Y42" s="70" t="str">
        <f ca="1">IF($V42="","",IF(OFFSET(選択肢パターン!D$2,$V42,0)="","",OFFSET(選択肢パターン!D$2,$V42,0)))</f>
        <v>一部実施済</v>
      </c>
      <c r="Z42" s="4" t="str">
        <f ca="1">IF($V42="","",IF(OFFSET(選択肢パターン!E$2,$V42,0)="","",OFFSET(選択肢パターン!E$2,$V42,0)))</f>
        <v>未実施</v>
      </c>
      <c r="AA42" s="4" t="str">
        <f ca="1">IF($V42="","",IF(OFFSET(選択肢パターン!F$2,$V42,0)="","",OFFSET(選択肢パターン!F$2,$V42,0)))</f>
        <v>該当なし</v>
      </c>
      <c r="AB42" s="94">
        <f ca="1">IF($V42="","",IF(OFFSET(選択肢パターン!G$2,$V42,0)="","",OFFSET(選択肢パターン!G$2,$V42,0)))</f>
        <v>1</v>
      </c>
      <c r="AC42" s="94">
        <f ca="1">IF($V42="","",IF(OFFSET(選択肢パターン!H$2,$V42,0)="","",OFFSET(選択肢パターン!H$2,$V42,0)))</f>
        <v>0.75</v>
      </c>
      <c r="AD42" s="94">
        <f ca="1">IF($V42="","",IF(OFFSET(選択肢パターン!I$2,$V42,0)="","",OFFSET(選択肢パターン!I$2,$V42,0)))</f>
        <v>0.25</v>
      </c>
      <c r="AE42" s="14">
        <f ca="1">IF($V42="","",IF(OFFSET(選択肢パターン!J$2,$V42,0)="","",OFFSET(選択肢パターン!J$2,$V42,0)))</f>
        <v>0</v>
      </c>
      <c r="AF42" s="14" t="str">
        <f ca="1">IF($V42="","",IF(OFFSET(選択肢パターン!K$2,$V42,0)="","",OFFSET(選択肢パターン!K$2,$V42,0)))</f>
        <v/>
      </c>
    </row>
    <row r="43" spans="2:32" ht="32.25" thickBot="1">
      <c r="B43" s="265"/>
      <c r="C43" s="261"/>
      <c r="D43" s="37">
        <v>25</v>
      </c>
      <c r="E43" s="509" t="str">
        <f>VLOOKUP($D43,削減率設定!$C$5:$P$74,2,FALSE)</f>
        <v>パッケージ形空調機の省エネチューニングの実施</v>
      </c>
      <c r="F43" s="38" t="str">
        <f>VLOOKUP($D43,削減率設定!$C$5:$P$74,3,FALSE)</f>
        <v>メーカー等による省エネチューニングの実施(例：冷媒蒸発温度設定の調整等）</v>
      </c>
      <c r="G43" s="108" t="str">
        <f>IF(対策チェック!AH50="","",対策チェック!AH50)</f>
        <v/>
      </c>
      <c r="H43" s="25">
        <f t="shared" si="6"/>
        <v>1</v>
      </c>
      <c r="I43" s="85" t="str">
        <f t="shared" ca="1" si="2"/>
        <v/>
      </c>
      <c r="J43" s="514">
        <f ca="1">IF(IFERROR(OFFSET(削減率設定!$O$3,MATCH($D43,削減率設定!$C$5:$C$74,0)+1,0),0)=0,"-",OFFSET(削減率設定!$O$3,MATCH($D43,削減率設定!$C$5:$C$74,0)+1,0))</f>
        <v>2.5000000000000001E-2</v>
      </c>
      <c r="K43" s="200">
        <f ca="1">IFERROR(VLOOKUP(O43,エネルギーシェア!$B$4:$I$23,MATCH("選択中",エネルギーシェア!$B$2:$I$2,0),FALSE)/100,0)+IFERROR(VLOOKUP(P43,エネルギーシェア!$B$4:$I$23,MATCH("選択中",エネルギーシェア!$B$2:$I$2,0),FALSE)/100,0)</f>
        <v>0.25800000000000001</v>
      </c>
      <c r="L43" s="57" t="str">
        <f t="shared" ca="1" si="3"/>
        <v>-</v>
      </c>
      <c r="M43" s="39" t="str">
        <f t="shared" ca="1" si="4"/>
        <v>-</v>
      </c>
      <c r="N43" s="34" t="s">
        <v>71</v>
      </c>
      <c r="O43" s="33" t="str">
        <f>IF($C$4="個別",IF(空調選択用!F17&lt;&gt;"",空調選択用!F17,""),IF(空調選択用!H17&lt;&gt;"",空調選択用!H17,""))</f>
        <v>熱源</v>
      </c>
      <c r="P43" s="22" t="str">
        <f>IF($C$4="個別",IF(空調選択用!G17&lt;&gt;"",空調選択用!G17,""),IF(空調選択用!I17&lt;&gt;"",空調選択用!I17,""))</f>
        <v/>
      </c>
      <c r="Q43" s="134" t="str">
        <f t="shared" ca="1" si="8"/>
        <v>-</v>
      </c>
      <c r="R43" t="str">
        <f ca="1">IF(AND(G43&lt;&gt;W43,G43&lt;&gt;AA43,OR(Q43=1,AND(Q43=2,COUNTIF(Q$39:Q$53,1)&lt;3),AND(Q43=3,COUNTIF(Q$39:Q$53,2)&lt;2,COUNTIF(Q$39:Q43,3)&lt;3))),"・"&amp;E43&amp;CHAR(13),"")</f>
        <v/>
      </c>
      <c r="T43" s="4"/>
      <c r="U43" s="4"/>
      <c r="V43">
        <v>2</v>
      </c>
      <c r="W43" s="70" t="str">
        <f ca="1">IF($V43="","",IF(OFFSET(選択肢パターン!B$2,$V43,0)="","",OFFSET(選択肢パターン!B$2,$V43,0)))</f>
        <v>実施済</v>
      </c>
      <c r="X43" s="70" t="str">
        <f ca="1">IF($V43="","",IF(OFFSET(選択肢パターン!C$2,$V43,0)="","",OFFSET(選択肢パターン!C$2,$V43,0)))</f>
        <v>過半で実施済</v>
      </c>
      <c r="Y43" s="70" t="str">
        <f ca="1">IF($V43="","",IF(OFFSET(選択肢パターン!D$2,$V43,0)="","",OFFSET(選択肢パターン!D$2,$V43,0)))</f>
        <v>一部実施済</v>
      </c>
      <c r="Z43" s="4" t="str">
        <f ca="1">IF($V43="","",IF(OFFSET(選択肢パターン!E$2,$V43,0)="","",OFFSET(選択肢パターン!E$2,$V43,0)))</f>
        <v>未実施</v>
      </c>
      <c r="AA43" s="4" t="str">
        <f ca="1">IF($V43="","",IF(OFFSET(選択肢パターン!F$2,$V43,0)="","",OFFSET(選択肢パターン!F$2,$V43,0)))</f>
        <v>該当なし</v>
      </c>
      <c r="AB43" s="94">
        <f ca="1">IF($V43="","",IF(OFFSET(選択肢パターン!G$2,$V43,0)="","",OFFSET(選択肢パターン!G$2,$V43,0)))</f>
        <v>1</v>
      </c>
      <c r="AC43" s="94">
        <f ca="1">IF($V43="","",IF(OFFSET(選択肢パターン!H$2,$V43,0)="","",OFFSET(選択肢パターン!H$2,$V43,0)))</f>
        <v>0.75</v>
      </c>
      <c r="AD43" s="94">
        <f ca="1">IF($V43="","",IF(OFFSET(選択肢パターン!I$2,$V43,0)="","",OFFSET(選択肢パターン!I$2,$V43,0)))</f>
        <v>0.25</v>
      </c>
      <c r="AE43" s="14">
        <f ca="1">IF($V43="","",IF(OFFSET(選択肢パターン!J$2,$V43,0)="","",OFFSET(選択肢パターン!J$2,$V43,0)))</f>
        <v>0</v>
      </c>
      <c r="AF43" s="14" t="str">
        <f ca="1">IF($V43="","",IF(OFFSET(選択肢パターン!K$2,$V43,0)="","",OFFSET(選択肢パターン!K$2,$V43,0)))</f>
        <v/>
      </c>
    </row>
    <row r="44" spans="2:32" ht="31.5">
      <c r="B44" s="262"/>
      <c r="C44" s="302" t="s">
        <v>390</v>
      </c>
      <c r="D44" s="49">
        <v>26</v>
      </c>
      <c r="E44" s="510" t="str">
        <f>VLOOKUP($D44,削減率設定!$C$5:$P$74,2,FALSE)</f>
        <v>冷水、温水出口温度の適正化</v>
      </c>
      <c r="F44" s="50" t="str">
        <f>VLOOKUP($D44,削減率設定!$C$5:$P$74,3,FALSE)</f>
        <v>熱源機の冷温水出口温度を中間期に2～3℃緩和（例：冷水温度が夏季7℃の場合､中間期は9℃等）</v>
      </c>
      <c r="G44" s="109" t="str">
        <f>IF(対策チェック!AH51="","",対策チェック!AH51)</f>
        <v/>
      </c>
      <c r="H44" s="25">
        <f t="shared" si="6"/>
        <v>1</v>
      </c>
      <c r="I44" s="86" t="str">
        <f t="shared" ca="1" si="2"/>
        <v/>
      </c>
      <c r="J44" s="515" t="str">
        <f ca="1">IF(IFERROR(OFFSET(削減率設定!$O$3,MATCH($D44,削減率設定!$C$5:$C$74,0)+1,0),0)=0,"-",OFFSET(削減率設定!$O$3,MATCH($D44,削減率設定!$C$5:$C$74,0)+1,0))</f>
        <v>-</v>
      </c>
      <c r="K44" s="201">
        <f ca="1">IFERROR(VLOOKUP(O44,エネルギーシェア!$B$4:$I$23,MATCH("選択中",エネルギーシェア!$B$2:$I$2,0),FALSE)/100,0)+IFERROR(VLOOKUP(P44,エネルギーシェア!$B$4:$I$23,MATCH("選択中",エネルギーシェア!$B$2:$I$2,0),FALSE)/100,0)</f>
        <v>0.25800000000000001</v>
      </c>
      <c r="L44" s="58" t="str">
        <f t="shared" ca="1" si="3"/>
        <v>-</v>
      </c>
      <c r="M44" s="51" t="str">
        <f t="shared" ca="1" si="4"/>
        <v>-</v>
      </c>
      <c r="N44" s="34" t="s">
        <v>71</v>
      </c>
      <c r="O44" s="33" t="str">
        <f>IF($C$4="個別",IF(空調選択用!F18&lt;&gt;"",空調選択用!F18,""),IF(空調選択用!H18&lt;&gt;"",空調選択用!H18,""))</f>
        <v>熱源</v>
      </c>
      <c r="P44" s="22" t="str">
        <f>IF($C$4="個別",IF(空調選択用!G18&lt;&gt;"",空調選択用!G18,""),IF(空調選択用!I18&lt;&gt;"",空調選択用!I18,""))</f>
        <v/>
      </c>
      <c r="Q44" s="134" t="str">
        <f t="shared" ca="1" si="8"/>
        <v>-</v>
      </c>
      <c r="R44" t="str">
        <f ca="1">IF(AND(G44&lt;&gt;W44,G44&lt;&gt;AA44,OR(Q44=1,AND(Q44=2,COUNTIF(Q$39:Q$53,1)&lt;3),AND(Q44=3,COUNTIF(Q$39:Q$53,2)&lt;2,COUNTIF(Q$39:Q44,3)&lt;3))),"・"&amp;E44&amp;CHAR(13),"")</f>
        <v/>
      </c>
      <c r="T44" s="4"/>
      <c r="U44" s="4"/>
      <c r="V44">
        <v>2</v>
      </c>
      <c r="W44" s="70" t="str">
        <f ca="1">IF($V44="","",IF(OFFSET(選択肢パターン!B$2,$V44,0)="","",OFFSET(選択肢パターン!B$2,$V44,0)))</f>
        <v>実施済</v>
      </c>
      <c r="X44" s="70" t="str">
        <f ca="1">IF($V44="","",IF(OFFSET(選択肢パターン!C$2,$V44,0)="","",OFFSET(選択肢パターン!C$2,$V44,0)))</f>
        <v>過半で実施済</v>
      </c>
      <c r="Y44" s="70" t="str">
        <f ca="1">IF($V44="","",IF(OFFSET(選択肢パターン!D$2,$V44,0)="","",OFFSET(選択肢パターン!D$2,$V44,0)))</f>
        <v>一部実施済</v>
      </c>
      <c r="Z44" s="4" t="str">
        <f ca="1">IF($V44="","",IF(OFFSET(選択肢パターン!E$2,$V44,0)="","",OFFSET(選択肢パターン!E$2,$V44,0)))</f>
        <v>未実施</v>
      </c>
      <c r="AA44" s="4" t="str">
        <f ca="1">IF($V44="","",IF(OFFSET(選択肢パターン!F$2,$V44,0)="","",OFFSET(選択肢パターン!F$2,$V44,0)))</f>
        <v>該当なし</v>
      </c>
      <c r="AB44" s="94">
        <f ca="1">IF($V44="","",IF(OFFSET(選択肢パターン!G$2,$V44,0)="","",OFFSET(選択肢パターン!G$2,$V44,0)))</f>
        <v>1</v>
      </c>
      <c r="AC44" s="94">
        <f ca="1">IF($V44="","",IF(OFFSET(選択肢パターン!H$2,$V44,0)="","",OFFSET(選択肢パターン!H$2,$V44,0)))</f>
        <v>0.75</v>
      </c>
      <c r="AD44" s="94">
        <f ca="1">IF($V44="","",IF(OFFSET(選択肢パターン!I$2,$V44,0)="","",OFFSET(選択肢パターン!I$2,$V44,0)))</f>
        <v>0.25</v>
      </c>
      <c r="AE44" s="14">
        <f ca="1">IF($V44="","",IF(OFFSET(選択肢パターン!J$2,$V44,0)="","",OFFSET(選択肢パターン!J$2,$V44,0)))</f>
        <v>0</v>
      </c>
      <c r="AF44" s="14" t="str">
        <f ca="1">IF($V44="","",IF(OFFSET(選択肢パターン!K$2,$V44,0)="","",OFFSET(選択肢パターン!K$2,$V44,0)))</f>
        <v/>
      </c>
    </row>
    <row r="45" spans="2:32" ht="31.5">
      <c r="B45" s="263"/>
      <c r="C45" s="256"/>
      <c r="D45" s="3">
        <v>27</v>
      </c>
      <c r="E45" s="505" t="str">
        <f>VLOOKUP($D45,削減率設定!$C$5:$P$74,2,FALSE)</f>
        <v>冷却水温度の適正化</v>
      </c>
      <c r="F45" s="5" t="str">
        <f>VLOOKUP($D45,削減率設定!$C$5:$P$74,3,FALSE)</f>
        <v>冷凍機の仕様に応じた冷却水温度の設定 （冷凍機の冷却水下限温度を目安に調整）</v>
      </c>
      <c r="G45" s="105" t="str">
        <f>IF(対策チェック!AH52="","",対策チェック!AH52)</f>
        <v/>
      </c>
      <c r="H45" s="25">
        <f t="shared" si="6"/>
        <v>1</v>
      </c>
      <c r="I45" s="82" t="str">
        <f t="shared" ca="1" si="2"/>
        <v/>
      </c>
      <c r="J45" s="512" t="str">
        <f ca="1">IF(IFERROR(OFFSET(削減率設定!$O$3,MATCH($D45,削減率設定!$C$5:$C$74,0)+1,0),0)=0,"-",OFFSET(削減率設定!$O$3,MATCH($D45,削減率設定!$C$5:$C$74,0)+1,0))</f>
        <v>-</v>
      </c>
      <c r="K45" s="197">
        <f ca="1">IFERROR(VLOOKUP(O45,エネルギーシェア!$B$4:$I$23,MATCH("選択中",エネルギーシェア!$B$2:$I$2,0),FALSE)/100,0)+IFERROR(VLOOKUP(P45,エネルギーシェア!$B$4:$I$23,MATCH("選択中",エネルギーシェア!$B$2:$I$2,0),FALSE)/100,0)</f>
        <v>0.25800000000000001</v>
      </c>
      <c r="L45" s="54" t="str">
        <f t="shared" ca="1" si="3"/>
        <v>-</v>
      </c>
      <c r="M45" s="15" t="str">
        <f t="shared" ca="1" si="4"/>
        <v>-</v>
      </c>
      <c r="N45" s="34" t="s">
        <v>71</v>
      </c>
      <c r="O45" s="33" t="str">
        <f>IF($C$4="個別",IF(空調選択用!F19&lt;&gt;"",空調選択用!F19,""),IF(空調選択用!H19&lt;&gt;"",空調選択用!H19,""))</f>
        <v>熱源</v>
      </c>
      <c r="P45" s="22" t="str">
        <f>IF($C$4="個別",IF(空調選択用!G19&lt;&gt;"",空調選択用!G19,""),IF(空調選択用!I19&lt;&gt;"",空調選択用!I19,""))</f>
        <v/>
      </c>
      <c r="Q45" s="134" t="str">
        <f t="shared" ca="1" si="8"/>
        <v>-</v>
      </c>
      <c r="R45" t="str">
        <f ca="1">IF(AND(G45&lt;&gt;W45,G45&lt;&gt;AA45,OR(Q45=1,AND(Q45=2,COUNTIF(Q$39:Q$53,1)&lt;3),AND(Q45=3,COUNTIF(Q$39:Q$53,2)&lt;2,COUNTIF(Q$39:Q45,3)&lt;3))),"・"&amp;E45&amp;CHAR(13),"")</f>
        <v/>
      </c>
      <c r="T45" s="4"/>
      <c r="U45" s="4"/>
      <c r="V45">
        <v>2</v>
      </c>
      <c r="W45" s="70" t="str">
        <f ca="1">IF($V45="","",IF(OFFSET(選択肢パターン!B$2,$V45,0)="","",OFFSET(選択肢パターン!B$2,$V45,0)))</f>
        <v>実施済</v>
      </c>
      <c r="X45" s="70" t="str">
        <f ca="1">IF($V45="","",IF(OFFSET(選択肢パターン!C$2,$V45,0)="","",OFFSET(選択肢パターン!C$2,$V45,0)))</f>
        <v>過半で実施済</v>
      </c>
      <c r="Y45" s="70" t="str">
        <f ca="1">IF($V45="","",IF(OFFSET(選択肢パターン!D$2,$V45,0)="","",OFFSET(選択肢パターン!D$2,$V45,0)))</f>
        <v>一部実施済</v>
      </c>
      <c r="Z45" s="4" t="str">
        <f ca="1">IF($V45="","",IF(OFFSET(選択肢パターン!E$2,$V45,0)="","",OFFSET(選択肢パターン!E$2,$V45,0)))</f>
        <v>未実施</v>
      </c>
      <c r="AA45" s="4" t="str">
        <f ca="1">IF($V45="","",IF(OFFSET(選択肢パターン!F$2,$V45,0)="","",OFFSET(選択肢パターン!F$2,$V45,0)))</f>
        <v>該当なし</v>
      </c>
      <c r="AB45" s="94">
        <f ca="1">IF($V45="","",IF(OFFSET(選択肢パターン!G$2,$V45,0)="","",OFFSET(選択肢パターン!G$2,$V45,0)))</f>
        <v>1</v>
      </c>
      <c r="AC45" s="94">
        <f ca="1">IF($V45="","",IF(OFFSET(選択肢パターン!H$2,$V45,0)="","",OFFSET(選択肢パターン!H$2,$V45,0)))</f>
        <v>0.75</v>
      </c>
      <c r="AD45" s="94">
        <f ca="1">IF($V45="","",IF(OFFSET(選択肢パターン!I$2,$V45,0)="","",OFFSET(選択肢パターン!I$2,$V45,0)))</f>
        <v>0.25</v>
      </c>
      <c r="AE45" s="14">
        <f ca="1">IF($V45="","",IF(OFFSET(選択肢パターン!J$2,$V45,0)="","",OFFSET(選択肢パターン!J$2,$V45,0)))</f>
        <v>0</v>
      </c>
      <c r="AF45" s="14" t="str">
        <f ca="1">IF($V45="","",IF(OFFSET(選択肢パターン!K$2,$V45,0)="","",OFFSET(選択肢パターン!K$2,$V45,0)))</f>
        <v/>
      </c>
    </row>
    <row r="46" spans="2:32" ht="31.5">
      <c r="B46" s="264" t="s">
        <v>345</v>
      </c>
      <c r="C46" s="266">
        <f ca="1">SUM(L39:L53)</f>
        <v>0</v>
      </c>
      <c r="D46" s="40">
        <v>28</v>
      </c>
      <c r="E46" s="506" t="str">
        <f>VLOOKUP($D46,削減率設定!$C$5:$P$74,2,FALSE)</f>
        <v>熱源機の運転時間の適正化</v>
      </c>
      <c r="F46" s="5" t="str">
        <f>VLOOKUP($D46,削減率設定!$C$5:$P$74,3,FALSE)</f>
        <v>運転開始時：予熱時間の短縮
停止時： 空調停止の15分程度前に熱源機停止</v>
      </c>
      <c r="G46" s="105" t="str">
        <f>IF(対策チェック!AH53="","",対策チェック!AH53)</f>
        <v/>
      </c>
      <c r="H46" s="25">
        <f t="shared" si="6"/>
        <v>1</v>
      </c>
      <c r="I46" s="82" t="str">
        <f t="shared" ca="1" si="2"/>
        <v/>
      </c>
      <c r="J46" s="512" t="str">
        <f ca="1">IF(IFERROR(OFFSET(削減率設定!$O$3,MATCH($D46,削減率設定!$C$5:$C$74,0)+1,0),0)=0,"-",OFFSET(削減率設定!$O$3,MATCH($D46,削減率設定!$C$5:$C$74,0)+1,0))</f>
        <v>-</v>
      </c>
      <c r="K46" s="197">
        <f ca="1">IFERROR(VLOOKUP(O46,エネルギーシェア!$B$4:$I$23,MATCH("選択中",エネルギーシェア!$B$2:$I$2,0),FALSE)/100,0)+IFERROR(VLOOKUP(P46,エネルギーシェア!$B$4:$I$23,MATCH("選択中",エネルギーシェア!$B$2:$I$2,0),FALSE)/100,0)</f>
        <v>0.25800000000000001</v>
      </c>
      <c r="L46" s="54" t="str">
        <f t="shared" ca="1" si="3"/>
        <v>-</v>
      </c>
      <c r="M46" s="15" t="str">
        <f t="shared" ca="1" si="4"/>
        <v>-</v>
      </c>
      <c r="N46" s="34" t="s">
        <v>71</v>
      </c>
      <c r="O46" s="33" t="str">
        <f>IF($C$4="個別",IF(空調選択用!F20&lt;&gt;"",空調選択用!F20,""),IF(空調選択用!H20&lt;&gt;"",空調選択用!H20,""))</f>
        <v>熱源</v>
      </c>
      <c r="P46" s="22" t="str">
        <f>IF($C$4="個別",IF(空調選択用!G20&lt;&gt;"",空調選択用!G20,""),IF(空調選択用!I20&lt;&gt;"",空調選択用!I20,""))</f>
        <v/>
      </c>
      <c r="Q46" s="134" t="str">
        <f t="shared" ca="1" si="8"/>
        <v>-</v>
      </c>
      <c r="R46" t="str">
        <f ca="1">IF(AND(G46&lt;&gt;W46,G46&lt;&gt;AA46,OR(Q46=1,AND(Q46=2,COUNTIF(Q$39:Q$53,1)&lt;3),AND(Q46=3,COUNTIF(Q$39:Q$53,2)&lt;2,COUNTIF(Q$39:Q46,3)&lt;3))),"・"&amp;E46&amp;CHAR(13),"")</f>
        <v/>
      </c>
      <c r="T46" s="4"/>
      <c r="U46" s="4"/>
      <c r="V46">
        <v>2</v>
      </c>
      <c r="W46" s="70" t="str">
        <f ca="1">IF($V46="","",IF(OFFSET(選択肢パターン!B$2,$V46,0)="","",OFFSET(選択肢パターン!B$2,$V46,0)))</f>
        <v>実施済</v>
      </c>
      <c r="X46" s="70" t="str">
        <f ca="1">IF($V46="","",IF(OFFSET(選択肢パターン!C$2,$V46,0)="","",OFFSET(選択肢パターン!C$2,$V46,0)))</f>
        <v>過半で実施済</v>
      </c>
      <c r="Y46" s="70" t="str">
        <f ca="1">IF($V46="","",IF(OFFSET(選択肢パターン!D$2,$V46,0)="","",OFFSET(選択肢パターン!D$2,$V46,0)))</f>
        <v>一部実施済</v>
      </c>
      <c r="Z46" s="4" t="str">
        <f ca="1">IF($V46="","",IF(OFFSET(選択肢パターン!E$2,$V46,0)="","",OFFSET(選択肢パターン!E$2,$V46,0)))</f>
        <v>未実施</v>
      </c>
      <c r="AA46" s="4" t="str">
        <f ca="1">IF($V46="","",IF(OFFSET(選択肢パターン!F$2,$V46,0)="","",OFFSET(選択肢パターン!F$2,$V46,0)))</f>
        <v>該当なし</v>
      </c>
      <c r="AB46" s="94">
        <f ca="1">IF($V46="","",IF(OFFSET(選択肢パターン!G$2,$V46,0)="","",OFFSET(選択肢パターン!G$2,$V46,0)))</f>
        <v>1</v>
      </c>
      <c r="AC46" s="94">
        <f ca="1">IF($V46="","",IF(OFFSET(選択肢パターン!H$2,$V46,0)="","",OFFSET(選択肢パターン!H$2,$V46,0)))</f>
        <v>0.75</v>
      </c>
      <c r="AD46" s="94">
        <f ca="1">IF($V46="","",IF(OFFSET(選択肢パターン!I$2,$V46,0)="","",OFFSET(選択肢パターン!I$2,$V46,0)))</f>
        <v>0.25</v>
      </c>
      <c r="AE46" s="14">
        <f ca="1">IF($V46="","",IF(OFFSET(選択肢パターン!J$2,$V46,0)="","",OFFSET(選択肢パターン!J$2,$V46,0)))</f>
        <v>0</v>
      </c>
      <c r="AF46" s="14" t="str">
        <f ca="1">IF($V46="","",IF(OFFSET(選択肢パターン!K$2,$V46,0)="","",OFFSET(選択肢パターン!K$2,$V46,0)))</f>
        <v/>
      </c>
    </row>
    <row r="47" spans="2:32" ht="37.5">
      <c r="B47" s="254" t="s">
        <v>349</v>
      </c>
      <c r="C47" s="267">
        <f ca="1">SUM(M39:M53)</f>
        <v>0</v>
      </c>
      <c r="D47" s="3">
        <v>29</v>
      </c>
      <c r="E47" s="505" t="str">
        <f>VLOOKUP($D47,削減率設定!$C$5:$P$74,2,FALSE)</f>
        <v>熱源機器の運転台数の適正化</v>
      </c>
      <c r="F47" s="5" t="str">
        <f>VLOOKUP($D47,削減率設定!$C$5:$P$74,3,FALSE)</f>
        <v>空調負荷に応じた熱源機器の運転パターンの把握､調整</v>
      </c>
      <c r="G47" s="105" t="str">
        <f>IF(対策チェック!AH54="","",対策チェック!AH54)</f>
        <v/>
      </c>
      <c r="H47" s="25">
        <f t="shared" si="6"/>
        <v>1</v>
      </c>
      <c r="I47" s="82" t="str">
        <f t="shared" ca="1" si="2"/>
        <v/>
      </c>
      <c r="J47" s="512" t="str">
        <f ca="1">IF(IFERROR(OFFSET(削減率設定!$O$3,MATCH($D47,削減率設定!$C$5:$C$74,0)+1,0),0)=0,"-",OFFSET(削減率設定!$O$3,MATCH($D47,削減率設定!$C$5:$C$74,0)+1,0))</f>
        <v>-</v>
      </c>
      <c r="K47" s="197">
        <f ca="1">IFERROR(VLOOKUP(O47,エネルギーシェア!$B$4:$I$23,MATCH("選択中",エネルギーシェア!$B$2:$I$2,0),FALSE)/100,0)+IFERROR(VLOOKUP(P47,エネルギーシェア!$B$4:$I$23,MATCH("選択中",エネルギーシェア!$B$2:$I$2,0),FALSE)/100,0)</f>
        <v>0.25800000000000001</v>
      </c>
      <c r="L47" s="54" t="str">
        <f t="shared" ca="1" si="3"/>
        <v>-</v>
      </c>
      <c r="M47" s="15" t="str">
        <f t="shared" ca="1" si="4"/>
        <v>-</v>
      </c>
      <c r="N47" s="34" t="s">
        <v>71</v>
      </c>
      <c r="O47" s="33" t="str">
        <f>IF($C$4="個別",IF(空調選択用!F21&lt;&gt;"",空調選択用!F21,""),IF(空調選択用!H21&lt;&gt;"",空調選択用!H21,""))</f>
        <v>熱源</v>
      </c>
      <c r="P47" s="22" t="str">
        <f>IF($C$4="個別",IF(空調選択用!G21&lt;&gt;"",空調選択用!G21,""),IF(空調選択用!I21&lt;&gt;"",空調選択用!I21,""))</f>
        <v/>
      </c>
      <c r="Q47" s="134" t="str">
        <f t="shared" ca="1" si="8"/>
        <v>-</v>
      </c>
      <c r="R47" t="str">
        <f ca="1">IF(AND(G47&lt;&gt;W47,G47&lt;&gt;AA47,OR(Q47=1,AND(Q47=2,COUNTIF(Q$39:Q$53,1)&lt;3),AND(Q47=3,COUNTIF(Q$39:Q$53,2)&lt;2,COUNTIF(Q$39:Q47,3)&lt;3))),"・"&amp;E47&amp;CHAR(13),"")</f>
        <v/>
      </c>
      <c r="T47" s="4"/>
      <c r="U47" s="4"/>
      <c r="V47">
        <v>2</v>
      </c>
      <c r="W47" s="70" t="str">
        <f ca="1">IF($V47="","",IF(OFFSET(選択肢パターン!B$2,$V47,0)="","",OFFSET(選択肢パターン!B$2,$V47,0)))</f>
        <v>実施済</v>
      </c>
      <c r="X47" s="70" t="str">
        <f ca="1">IF($V47="","",IF(OFFSET(選択肢パターン!C$2,$V47,0)="","",OFFSET(選択肢パターン!C$2,$V47,0)))</f>
        <v>過半で実施済</v>
      </c>
      <c r="Y47" s="70" t="str">
        <f ca="1">IF($V47="","",IF(OFFSET(選択肢パターン!D$2,$V47,0)="","",OFFSET(選択肢パターン!D$2,$V47,0)))</f>
        <v>一部実施済</v>
      </c>
      <c r="Z47" s="4" t="str">
        <f ca="1">IF($V47="","",IF(OFFSET(選択肢パターン!E$2,$V47,0)="","",OFFSET(選択肢パターン!E$2,$V47,0)))</f>
        <v>未実施</v>
      </c>
      <c r="AA47" s="4" t="str">
        <f ca="1">IF($V47="","",IF(OFFSET(選択肢パターン!F$2,$V47,0)="","",OFFSET(選択肢パターン!F$2,$V47,0)))</f>
        <v>該当なし</v>
      </c>
      <c r="AB47" s="94">
        <f ca="1">IF($V47="","",IF(OFFSET(選択肢パターン!G$2,$V47,0)="","",OFFSET(選択肢パターン!G$2,$V47,0)))</f>
        <v>1</v>
      </c>
      <c r="AC47" s="94">
        <f ca="1">IF($V47="","",IF(OFFSET(選択肢パターン!H$2,$V47,0)="","",OFFSET(選択肢パターン!H$2,$V47,0)))</f>
        <v>0.75</v>
      </c>
      <c r="AD47" s="94">
        <f ca="1">IF($V47="","",IF(OFFSET(選択肢パターン!I$2,$V47,0)="","",OFFSET(選択肢パターン!I$2,$V47,0)))</f>
        <v>0.25</v>
      </c>
      <c r="AE47" s="14">
        <f ca="1">IF($V47="","",IF(OFFSET(選択肢パターン!J$2,$V47,0)="","",OFFSET(選択肢パターン!J$2,$V47,0)))</f>
        <v>0</v>
      </c>
      <c r="AF47" s="14" t="str">
        <f ca="1">IF($V47="","",IF(OFFSET(選択肢パターン!K$2,$V47,0)="","",OFFSET(選択肢パターン!K$2,$V47,0)))</f>
        <v/>
      </c>
    </row>
    <row r="48" spans="2:32" ht="37.5">
      <c r="B48" s="254" t="s">
        <v>350</v>
      </c>
      <c r="C48" s="359">
        <f ca="1">IF($C$4="個別",10*SUM(I39:I43)/(5-COUNTIF(G39:G43,"該当なし")),IF($C$4="セントラル",10*SUM(I44:I53)/(10-COUNTIF(G44:G53,"該当なし")),10*SUM(I39:I53)/(15-COUNTIF(G39:G53,"該当なし"))))</f>
        <v>0</v>
      </c>
      <c r="D48" s="3">
        <v>30</v>
      </c>
      <c r="E48" s="505" t="str">
        <f>VLOOKUP($D48,削減率設定!$C$5:$P$74,2,FALSE)</f>
        <v>燃焼設備の空気比改善</v>
      </c>
      <c r="F48" s="5" t="str">
        <f>VLOOKUP($D48,削減率設定!$C$5:$P$74,3,FALSE)</f>
        <v>空気比を適正に管理､基準空気比以下となるように調整（基準空気比の例：1.25-1.4）</v>
      </c>
      <c r="G48" s="105" t="str">
        <f>IF(対策チェック!AH55="","",対策チェック!AH55)</f>
        <v/>
      </c>
      <c r="H48" s="25">
        <f t="shared" si="6"/>
        <v>1</v>
      </c>
      <c r="I48" s="82" t="str">
        <f t="shared" ca="1" si="2"/>
        <v/>
      </c>
      <c r="J48" s="512" t="str">
        <f ca="1">IF(IFERROR(OFFSET(削減率設定!$O$3,MATCH($D48,削減率設定!$C$5:$C$74,0)+1,0),0)=0,"-",OFFSET(削減率設定!$O$3,MATCH($D48,削減率設定!$C$5:$C$74,0)+1,0))</f>
        <v>-</v>
      </c>
      <c r="K48" s="197">
        <f ca="1">IFERROR(VLOOKUP(O48,エネルギーシェア!$B$4:$I$23,MATCH("選択中",エネルギーシェア!$B$2:$I$2,0),FALSE)/100,0)+IFERROR(VLOOKUP(P48,エネルギーシェア!$B$4:$I$23,MATCH("選択中",エネルギーシェア!$B$2:$I$2,0),FALSE)/100,0)</f>
        <v>0.25800000000000001</v>
      </c>
      <c r="L48" s="54" t="str">
        <f t="shared" ca="1" si="3"/>
        <v>-</v>
      </c>
      <c r="M48" s="15" t="str">
        <f t="shared" ca="1" si="4"/>
        <v>-</v>
      </c>
      <c r="N48" s="34" t="s">
        <v>71</v>
      </c>
      <c r="O48" s="33" t="str">
        <f>IF($C$4="個別",IF(空調選択用!F22&lt;&gt;"",空調選択用!F22,""),IF(空調選択用!H22&lt;&gt;"",空調選択用!H22,""))</f>
        <v>熱源</v>
      </c>
      <c r="P48" s="22" t="str">
        <f>IF($C$4="個別",IF(空調選択用!G22&lt;&gt;"",空調選択用!G22,""),IF(空調選択用!I22&lt;&gt;"",空調選択用!I22,""))</f>
        <v/>
      </c>
      <c r="Q48" s="134" t="str">
        <f t="shared" ca="1" si="8"/>
        <v>-</v>
      </c>
      <c r="R48" t="str">
        <f ca="1">IF(AND(G48&lt;&gt;W48,G48&lt;&gt;AA48,OR(Q48=1,AND(Q48=2,COUNTIF(Q$39:Q$53,1)&lt;3),AND(Q48=3,COUNTIF(Q$39:Q$53,2)&lt;2,COUNTIF(Q$39:Q48,3)&lt;3))),"・"&amp;E48&amp;CHAR(13),"")</f>
        <v/>
      </c>
      <c r="T48" s="4"/>
      <c r="U48" s="4"/>
      <c r="V48">
        <v>2</v>
      </c>
      <c r="W48" s="70" t="str">
        <f ca="1">IF($V48="","",IF(OFFSET(選択肢パターン!B$2,$V48,0)="","",OFFSET(選択肢パターン!B$2,$V48,0)))</f>
        <v>実施済</v>
      </c>
      <c r="X48" s="70" t="str">
        <f ca="1">IF($V48="","",IF(OFFSET(選択肢パターン!C$2,$V48,0)="","",OFFSET(選択肢パターン!C$2,$V48,0)))</f>
        <v>過半で実施済</v>
      </c>
      <c r="Y48" s="70" t="str">
        <f ca="1">IF($V48="","",IF(OFFSET(選択肢パターン!D$2,$V48,0)="","",OFFSET(選択肢パターン!D$2,$V48,0)))</f>
        <v>一部実施済</v>
      </c>
      <c r="Z48" s="4" t="str">
        <f ca="1">IF($V48="","",IF(OFFSET(選択肢パターン!E$2,$V48,0)="","",OFFSET(選択肢パターン!E$2,$V48,0)))</f>
        <v>未実施</v>
      </c>
      <c r="AA48" s="4" t="str">
        <f ca="1">IF($V48="","",IF(OFFSET(選択肢パターン!F$2,$V48,0)="","",OFFSET(選択肢パターン!F$2,$V48,0)))</f>
        <v>該当なし</v>
      </c>
      <c r="AB48" s="94">
        <f ca="1">IF($V48="","",IF(OFFSET(選択肢パターン!G$2,$V48,0)="","",OFFSET(選択肢パターン!G$2,$V48,0)))</f>
        <v>1</v>
      </c>
      <c r="AC48" s="94">
        <f ca="1">IF($V48="","",IF(OFFSET(選択肢パターン!H$2,$V48,0)="","",OFFSET(選択肢パターン!H$2,$V48,0)))</f>
        <v>0.75</v>
      </c>
      <c r="AD48" s="94">
        <f ca="1">IF($V48="","",IF(OFFSET(選択肢パターン!I$2,$V48,0)="","",OFFSET(選択肢パターン!I$2,$V48,0)))</f>
        <v>0.25</v>
      </c>
      <c r="AE48" s="14">
        <f ca="1">IF($V48="","",IF(OFFSET(選択肢パターン!J$2,$V48,0)="","",OFFSET(選択肢パターン!J$2,$V48,0)))</f>
        <v>0</v>
      </c>
      <c r="AF48" s="14" t="str">
        <f ca="1">IF($V48="","",IF(OFFSET(選択肢パターン!K$2,$V48,0)="","",OFFSET(選択肢パターン!K$2,$V48,0)))</f>
        <v/>
      </c>
    </row>
    <row r="49" spans="2:32" ht="31.5">
      <c r="B49" s="1" t="s">
        <v>577</v>
      </c>
      <c r="C49" s="260" t="e">
        <f ca="1">$F$9*C47</f>
        <v>#N/A</v>
      </c>
      <c r="D49" s="3">
        <v>31</v>
      </c>
      <c r="E49" s="505" t="str">
        <f>VLOOKUP($D49,削減率設定!$C$5:$P$74,2,FALSE)</f>
        <v>空調用ポンプの運転台数の適正化</v>
      </c>
      <c r="F49" s="5" t="str">
        <f>VLOOKUP($D49,削減率設定!$C$5:$P$74,3,FALSE)</f>
        <v>空調負荷に応じた空調２次ポンプの運転パターンの把握､調整</v>
      </c>
      <c r="G49" s="105" t="str">
        <f>IF(対策チェック!AH56="","",対策チェック!AH56)</f>
        <v/>
      </c>
      <c r="H49" s="25">
        <f t="shared" ref="H49" si="9">IF($C$4="個別",0,1)</f>
        <v>1</v>
      </c>
      <c r="I49" s="82" t="str">
        <f t="shared" ca="1" si="2"/>
        <v/>
      </c>
      <c r="J49" s="512" t="str">
        <f ca="1">IF(IFERROR(OFFSET(削減率設定!$O$3,MATCH($D49,削減率設定!$C$5:$C$74,0)+1,0),0)=0,"-",OFFSET(削減率設定!$O$3,MATCH($D49,削減率設定!$C$5:$C$74,0)+1,0))</f>
        <v>-</v>
      </c>
      <c r="K49" s="197">
        <f ca="1">IFERROR(VLOOKUP(O49,エネルギーシェア!$B$4:$I$23,MATCH("選択中",エネルギーシェア!$B$2:$I$2,0),FALSE)/100,0)+IFERROR(VLOOKUP(P49,エネルギーシェア!$B$4:$I$23,MATCH("選択中",エネルギーシェア!$B$2:$I$2,0),FALSE)/100,0)</f>
        <v>3.1E-2</v>
      </c>
      <c r="L49" s="54" t="str">
        <f t="shared" ca="1" si="3"/>
        <v>-</v>
      </c>
      <c r="M49" s="15" t="str">
        <f t="shared" ca="1" si="4"/>
        <v>-</v>
      </c>
      <c r="N49" s="34" t="s">
        <v>71</v>
      </c>
      <c r="O49" s="33" t="str">
        <f>IF($C$4="個別",IF(空調選択用!F23&lt;&gt;"",空調選択用!F23,""),IF(空調選択用!H23&lt;&gt;"",空調選択用!H23,""))</f>
        <v>空調ポンプ</v>
      </c>
      <c r="P49" s="22" t="str">
        <f>IF($C$4="個別",IF(空調選択用!G23&lt;&gt;"",空調選択用!G23,""),IF(空調選択用!I23&lt;&gt;"",空調選択用!I23,""))</f>
        <v/>
      </c>
      <c r="Q49" s="134" t="str">
        <f t="shared" ca="1" si="8"/>
        <v>-</v>
      </c>
      <c r="R49" t="str">
        <f ca="1">IF(AND(G49&lt;&gt;W49,G49&lt;&gt;AA49,OR(Q49=1,AND(Q49=2,COUNTIF(Q$39:Q$53,1)&lt;3),AND(Q49=3,COUNTIF(Q$39:Q$53,2)&lt;2,COUNTIF(Q$39:Q49,3)&lt;3))),"・"&amp;E49&amp;CHAR(13),"")</f>
        <v/>
      </c>
      <c r="T49" s="4"/>
      <c r="U49" s="4"/>
      <c r="V49">
        <v>2</v>
      </c>
      <c r="W49" s="70" t="str">
        <f ca="1">IF($V49="","",IF(OFFSET(選択肢パターン!B$2,$V49,0)="","",OFFSET(選択肢パターン!B$2,$V49,0)))</f>
        <v>実施済</v>
      </c>
      <c r="X49" s="70" t="str">
        <f ca="1">IF($V49="","",IF(OFFSET(選択肢パターン!C$2,$V49,0)="","",OFFSET(選択肢パターン!C$2,$V49,0)))</f>
        <v>過半で実施済</v>
      </c>
      <c r="Y49" s="70" t="str">
        <f ca="1">IF($V49="","",IF(OFFSET(選択肢パターン!D$2,$V49,0)="","",OFFSET(選択肢パターン!D$2,$V49,0)))</f>
        <v>一部実施済</v>
      </c>
      <c r="Z49" s="4" t="str">
        <f ca="1">IF($V49="","",IF(OFFSET(選択肢パターン!E$2,$V49,0)="","",OFFSET(選択肢パターン!E$2,$V49,0)))</f>
        <v>未実施</v>
      </c>
      <c r="AA49" s="4" t="str">
        <f ca="1">IF($V49="","",IF(OFFSET(選択肢パターン!F$2,$V49,0)="","",OFFSET(選択肢パターン!F$2,$V49,0)))</f>
        <v>該当なし</v>
      </c>
      <c r="AB49" s="94">
        <f ca="1">IF($V49="","",IF(OFFSET(選択肢パターン!G$2,$V49,0)="","",OFFSET(選択肢パターン!G$2,$V49,0)))</f>
        <v>1</v>
      </c>
      <c r="AC49" s="94">
        <f ca="1">IF($V49="","",IF(OFFSET(選択肢パターン!H$2,$V49,0)="","",OFFSET(選択肢パターン!H$2,$V49,0)))</f>
        <v>0.75</v>
      </c>
      <c r="AD49" s="94">
        <f ca="1">IF($V49="","",IF(OFFSET(選択肢パターン!I$2,$V49,0)="","",OFFSET(選択肢パターン!I$2,$V49,0)))</f>
        <v>0.25</v>
      </c>
      <c r="AE49" s="14">
        <f ca="1">IF($V49="","",IF(OFFSET(選択肢パターン!J$2,$V49,0)="","",OFFSET(選択肢パターン!J$2,$V49,0)))</f>
        <v>0</v>
      </c>
      <c r="AF49" s="14" t="str">
        <f ca="1">IF($V49="","",IF(OFFSET(選択肢パターン!K$2,$V49,0)="","",OFFSET(選択肢パターン!K$2,$V49,0)))</f>
        <v/>
      </c>
    </row>
    <row r="50" spans="2:32">
      <c r="B50" s="263"/>
      <c r="C50" s="256"/>
      <c r="D50" s="40">
        <v>32</v>
      </c>
      <c r="E50" s="506" t="str">
        <f>VLOOKUP($D50,削減率設定!$C$5:$P$74,2,FALSE)</f>
        <v>ポンプの流量の適正化</v>
      </c>
      <c r="F50" s="5" t="str">
        <f>VLOOKUP($D50,削減率設定!$C$5:$P$74,3,FALSE)</f>
        <v>必要流量に応じてバルブやインバータにより流量を調整</v>
      </c>
      <c r="G50" s="105" t="str">
        <f>IF(対策チェック!AH57="","",対策チェック!AH57)</f>
        <v/>
      </c>
      <c r="H50" s="25">
        <f t="shared" si="6"/>
        <v>1</v>
      </c>
      <c r="I50" s="82" t="str">
        <f t="shared" ca="1" si="2"/>
        <v/>
      </c>
      <c r="J50" s="512" t="str">
        <f ca="1">IF(IFERROR(OFFSET(削減率設定!$O$3,MATCH($D50,削減率設定!$C$5:$C$74,0)+1,0),0)=0,"-",OFFSET(削減率設定!$O$3,MATCH($D50,削減率設定!$C$5:$C$74,0)+1,0))</f>
        <v>-</v>
      </c>
      <c r="K50" s="197">
        <f ca="1">IFERROR(VLOOKUP(O50,エネルギーシェア!$B$4:$I$23,MATCH("選択中",エネルギーシェア!$B$2:$I$2,0),FALSE)/100,0)+IFERROR(VLOOKUP(P50,エネルギーシェア!$B$4:$I$23,MATCH("選択中",エネルギーシェア!$B$2:$I$2,0),FALSE)/100,0)</f>
        <v>3.1E-2</v>
      </c>
      <c r="L50" s="54" t="str">
        <f t="shared" ca="1" si="3"/>
        <v>-</v>
      </c>
      <c r="M50" s="15" t="str">
        <f t="shared" ca="1" si="4"/>
        <v>-</v>
      </c>
      <c r="N50" s="34" t="s">
        <v>71</v>
      </c>
      <c r="O50" s="33" t="str">
        <f>IF($C$4="個別",IF(空調選択用!F24&lt;&gt;"",空調選択用!F24,""),IF(空調選択用!H24&lt;&gt;"",空調選択用!H24,""))</f>
        <v>空調ポンプ</v>
      </c>
      <c r="P50" s="22" t="str">
        <f>IF($C$4="個別",IF(空調選択用!G24&lt;&gt;"",空調選択用!G24,""),IF(空調選択用!I24&lt;&gt;"",空調選択用!I24,""))</f>
        <v/>
      </c>
      <c r="Q50" s="134" t="str">
        <f t="shared" ca="1" si="8"/>
        <v>-</v>
      </c>
      <c r="R50" t="str">
        <f ca="1">IF(AND(G50&lt;&gt;W50,G50&lt;&gt;AA50,OR(Q50=1,AND(Q50=2,COUNTIF(Q$39:Q$53,1)&lt;3),AND(Q50=3,COUNTIF(Q$39:Q$53,2)&lt;2,COUNTIF(Q$39:Q50,3)&lt;3))),"・"&amp;E50&amp;CHAR(13),"")</f>
        <v/>
      </c>
      <c r="T50" s="4"/>
      <c r="U50" s="4"/>
      <c r="V50">
        <v>2</v>
      </c>
      <c r="W50" s="70" t="str">
        <f ca="1">IF($V50="","",IF(OFFSET(選択肢パターン!B$2,$V50,0)="","",OFFSET(選択肢パターン!B$2,$V50,0)))</f>
        <v>実施済</v>
      </c>
      <c r="X50" s="70" t="str">
        <f ca="1">IF($V50="","",IF(OFFSET(選択肢パターン!C$2,$V50,0)="","",OFFSET(選択肢パターン!C$2,$V50,0)))</f>
        <v>過半で実施済</v>
      </c>
      <c r="Y50" s="70" t="str">
        <f ca="1">IF($V50="","",IF(OFFSET(選択肢パターン!D$2,$V50,0)="","",OFFSET(選択肢パターン!D$2,$V50,0)))</f>
        <v>一部実施済</v>
      </c>
      <c r="Z50" s="4" t="str">
        <f ca="1">IF($V50="","",IF(OFFSET(選択肢パターン!E$2,$V50,0)="","",OFFSET(選択肢パターン!E$2,$V50,0)))</f>
        <v>未実施</v>
      </c>
      <c r="AA50" s="4" t="str">
        <f ca="1">IF($V50="","",IF(OFFSET(選択肢パターン!F$2,$V50,0)="","",OFFSET(選択肢パターン!F$2,$V50,0)))</f>
        <v>該当なし</v>
      </c>
      <c r="AB50" s="94">
        <f ca="1">IF($V50="","",IF(OFFSET(選択肢パターン!G$2,$V50,0)="","",OFFSET(選択肢パターン!G$2,$V50,0)))</f>
        <v>1</v>
      </c>
      <c r="AC50" s="94">
        <f ca="1">IF($V50="","",IF(OFFSET(選択肢パターン!H$2,$V50,0)="","",OFFSET(選択肢パターン!H$2,$V50,0)))</f>
        <v>0.75</v>
      </c>
      <c r="AD50" s="94">
        <f ca="1">IF($V50="","",IF(OFFSET(選択肢パターン!I$2,$V50,0)="","",OFFSET(選択肢パターン!I$2,$V50,0)))</f>
        <v>0.25</v>
      </c>
      <c r="AE50" s="14">
        <f ca="1">IF($V50="","",IF(OFFSET(選択肢パターン!J$2,$V50,0)="","",OFFSET(選択肢パターン!J$2,$V50,0)))</f>
        <v>0</v>
      </c>
      <c r="AF50" s="14" t="str">
        <f ca="1">IF($V50="","",IF(OFFSET(選択肢パターン!K$2,$V50,0)="","",OFFSET(選択肢パターン!K$2,$V50,0)))</f>
        <v/>
      </c>
    </row>
    <row r="51" spans="2:32">
      <c r="B51" s="263"/>
      <c r="C51" s="256"/>
      <c r="D51" s="40">
        <v>33</v>
      </c>
      <c r="E51" s="506" t="str">
        <f>VLOOKUP($D51,削減率設定!$C$5:$P$74,2,FALSE)</f>
        <v>ファンの風量の適正化</v>
      </c>
      <c r="F51" s="5" t="str">
        <f>VLOOKUP($D51,削減率設定!$C$5:$P$74,3,FALSE)</f>
        <v>必要風量に応じてダンパやインバータにより風量を調整</v>
      </c>
      <c r="G51" s="105" t="str">
        <f>IF(対策チェック!AH58="","",対策チェック!AH58)</f>
        <v/>
      </c>
      <c r="H51" s="25">
        <f t="shared" si="6"/>
        <v>1</v>
      </c>
      <c r="I51" s="82" t="str">
        <f t="shared" ca="1" si="2"/>
        <v/>
      </c>
      <c r="J51" s="512" t="str">
        <f ca="1">IF(IFERROR(OFFSET(削減率設定!$O$3,MATCH($D51,削減率設定!$C$5:$C$74,0)+1,0),0)=0,"-",OFFSET(削減率設定!$O$3,MATCH($D51,削減率設定!$C$5:$C$74,0)+1,0))</f>
        <v>-</v>
      </c>
      <c r="K51" s="197">
        <f ca="1">IFERROR(VLOOKUP(O51,エネルギーシェア!$B$4:$I$23,MATCH("選択中",エネルギーシェア!$B$2:$I$2,0),FALSE)/100,0)+IFERROR(VLOOKUP(P51,エネルギーシェア!$B$4:$I$23,MATCH("選択中",エネルギーシェア!$B$2:$I$2,0),FALSE)/100,0)</f>
        <v>3.1E-2</v>
      </c>
      <c r="L51" s="54" t="str">
        <f t="shared" ca="1" si="3"/>
        <v>-</v>
      </c>
      <c r="M51" s="15" t="str">
        <f t="shared" ca="1" si="4"/>
        <v>-</v>
      </c>
      <c r="N51" s="34" t="s">
        <v>71</v>
      </c>
      <c r="O51" s="33" t="str">
        <f>IF($C$4="個別",IF(空調選択用!F25&lt;&gt;"",空調選択用!F25,""),IF(空調選択用!H25&lt;&gt;"",空調選択用!H25,""))</f>
        <v>空調ポンプ</v>
      </c>
      <c r="P51" s="22" t="str">
        <f>IF($C$4="個別",IF(空調選択用!G25&lt;&gt;"",空調選択用!G25,""),IF(空調選択用!I25&lt;&gt;"",空調選択用!I25,""))</f>
        <v/>
      </c>
      <c r="Q51" s="134" t="str">
        <f t="shared" ca="1" si="8"/>
        <v>-</v>
      </c>
      <c r="R51" t="str">
        <f ca="1">IF(AND(G51&lt;&gt;W51,G51&lt;&gt;AA51,OR(Q51=1,AND(Q51=2,COUNTIF(Q$39:Q$53,1)&lt;3),AND(Q51=3,COUNTIF(Q$39:Q$53,2)&lt;2,COUNTIF(Q$39:Q51,3)&lt;3))),"・"&amp;E51&amp;CHAR(13),"")</f>
        <v/>
      </c>
      <c r="T51" s="4"/>
      <c r="U51" s="4"/>
      <c r="V51">
        <v>2</v>
      </c>
      <c r="W51" s="70" t="str">
        <f ca="1">IF($V51="","",IF(OFFSET(選択肢パターン!B$2,$V51,0)="","",OFFSET(選択肢パターン!B$2,$V51,0)))</f>
        <v>実施済</v>
      </c>
      <c r="X51" s="70" t="str">
        <f ca="1">IF($V51="","",IF(OFFSET(選択肢パターン!C$2,$V51,0)="","",OFFSET(選択肢パターン!C$2,$V51,0)))</f>
        <v>過半で実施済</v>
      </c>
      <c r="Y51" s="70" t="str">
        <f ca="1">IF($V51="","",IF(OFFSET(選択肢パターン!D$2,$V51,0)="","",OFFSET(選択肢パターン!D$2,$V51,0)))</f>
        <v>一部実施済</v>
      </c>
      <c r="Z51" s="4" t="str">
        <f ca="1">IF($V51="","",IF(OFFSET(選択肢パターン!E$2,$V51,0)="","",OFFSET(選択肢パターン!E$2,$V51,0)))</f>
        <v>未実施</v>
      </c>
      <c r="AA51" s="4" t="str">
        <f ca="1">IF($V51="","",IF(OFFSET(選択肢パターン!F$2,$V51,0)="","",OFFSET(選択肢パターン!F$2,$V51,0)))</f>
        <v>該当なし</v>
      </c>
      <c r="AB51" s="94">
        <f ca="1">IF($V51="","",IF(OFFSET(選択肢パターン!G$2,$V51,0)="","",OFFSET(選択肢パターン!G$2,$V51,0)))</f>
        <v>1</v>
      </c>
      <c r="AC51" s="94">
        <f ca="1">IF($V51="","",IF(OFFSET(選択肢パターン!H$2,$V51,0)="","",OFFSET(選択肢パターン!H$2,$V51,0)))</f>
        <v>0.75</v>
      </c>
      <c r="AD51" s="94">
        <f ca="1">IF($V51="","",IF(OFFSET(選択肢パターン!I$2,$V51,0)="","",OFFSET(選択肢パターン!I$2,$V51,0)))</f>
        <v>0.25</v>
      </c>
      <c r="AE51" s="14">
        <f ca="1">IF($V51="","",IF(OFFSET(選択肢パターン!J$2,$V51,0)="","",OFFSET(選択肢パターン!J$2,$V51,0)))</f>
        <v>0</v>
      </c>
      <c r="AF51" s="14" t="str">
        <f ca="1">IF($V51="","",IF(OFFSET(選択肢パターン!K$2,$V51,0)="","",OFFSET(選択肢パターン!K$2,$V51,0)))</f>
        <v/>
      </c>
    </row>
    <row r="52" spans="2:32" ht="31.5">
      <c r="B52" s="263"/>
      <c r="C52" s="256"/>
      <c r="D52" s="3">
        <v>34</v>
      </c>
      <c r="E52" s="505" t="str">
        <f>VLOOKUP($D52,削減率設定!$C$5:$P$74,2,FALSE)</f>
        <v>冷温水、蒸気配管等の保温対策の徹底</v>
      </c>
      <c r="F52" s="5" t="str">
        <f>VLOOKUP($D52,削減率設定!$C$5:$P$74,3,FALSE)</f>
        <v>冷温水､蒸気の配管､バルブ､フランジ部の保温状態のチェック､改善</v>
      </c>
      <c r="G52" s="105" t="str">
        <f>IF(対策チェック!AH59="","",対策チェック!AH59)</f>
        <v/>
      </c>
      <c r="H52" s="25">
        <f t="shared" si="6"/>
        <v>1</v>
      </c>
      <c r="I52" s="82" t="str">
        <f t="shared" ca="1" si="2"/>
        <v/>
      </c>
      <c r="J52" s="512" t="str">
        <f ca="1">IF(IFERROR(OFFSET(削減率設定!$O$3,MATCH($D52,削減率設定!$C$5:$C$74,0)+1,0),0)=0,"-",OFFSET(削減率設定!$O$3,MATCH($D52,削減率設定!$C$5:$C$74,0)+1,0))</f>
        <v>-</v>
      </c>
      <c r="K52" s="197">
        <f ca="1">IFERROR(VLOOKUP(O52,エネルギーシェア!$B$4:$I$23,MATCH("選択中",エネルギーシェア!$B$2:$I$2,0),FALSE)/100,0)+IFERROR(VLOOKUP(P52,エネルギーシェア!$B$4:$I$23,MATCH("選択中",エネルギーシェア!$B$2:$I$2,0),FALSE)/100,0)</f>
        <v>0.25800000000000001</v>
      </c>
      <c r="L52" s="54" t="str">
        <f t="shared" ca="1" si="3"/>
        <v>-</v>
      </c>
      <c r="M52" s="15" t="str">
        <f t="shared" ca="1" si="4"/>
        <v>-</v>
      </c>
      <c r="N52" s="34" t="s">
        <v>71</v>
      </c>
      <c r="O52" s="33" t="str">
        <f>IF($C$4="個別",IF(空調選択用!F26&lt;&gt;"",空調選択用!F26,""),IF(空調選択用!H26&lt;&gt;"",空調選択用!H26,""))</f>
        <v>熱源</v>
      </c>
      <c r="P52" s="22" t="str">
        <f>IF($C$4="個別",IF(空調選択用!G26&lt;&gt;"",空調選択用!G26,""),IF(空調選択用!I26&lt;&gt;"",空調選択用!I26,""))</f>
        <v/>
      </c>
      <c r="Q52" s="134" t="str">
        <f t="shared" ca="1" si="8"/>
        <v>-</v>
      </c>
      <c r="R52" t="str">
        <f ca="1">IF(AND(G52&lt;&gt;W52,G52&lt;&gt;AA52,OR(Q52=1,AND(Q52=2,COUNTIF(Q$39:Q$53,1)&lt;3),AND(Q52=3,COUNTIF(Q$39:Q$53,2)&lt;2,COUNTIF(Q$39:Q52,3)&lt;3))),"・"&amp;E52&amp;CHAR(13),"")</f>
        <v/>
      </c>
      <c r="T52" s="4"/>
      <c r="U52" s="4"/>
      <c r="V52">
        <v>2</v>
      </c>
      <c r="W52" s="70" t="str">
        <f ca="1">IF($V52="","",IF(OFFSET(選択肢パターン!B$2,$V52,0)="","",OFFSET(選択肢パターン!B$2,$V52,0)))</f>
        <v>実施済</v>
      </c>
      <c r="X52" s="70" t="str">
        <f ca="1">IF($V52="","",IF(OFFSET(選択肢パターン!C$2,$V52,0)="","",OFFSET(選択肢パターン!C$2,$V52,0)))</f>
        <v>過半で実施済</v>
      </c>
      <c r="Y52" s="70" t="str">
        <f ca="1">IF($V52="","",IF(OFFSET(選択肢パターン!D$2,$V52,0)="","",OFFSET(選択肢パターン!D$2,$V52,0)))</f>
        <v>一部実施済</v>
      </c>
      <c r="Z52" s="4" t="str">
        <f ca="1">IF($V52="","",IF(OFFSET(選択肢パターン!E$2,$V52,0)="","",OFFSET(選択肢パターン!E$2,$V52,0)))</f>
        <v>未実施</v>
      </c>
      <c r="AA52" s="4" t="str">
        <f ca="1">IF($V52="","",IF(OFFSET(選択肢パターン!F$2,$V52,0)="","",OFFSET(選択肢パターン!F$2,$V52,0)))</f>
        <v>該当なし</v>
      </c>
      <c r="AB52" s="94">
        <f ca="1">IF($V52="","",IF(OFFSET(選択肢パターン!G$2,$V52,0)="","",OFFSET(選択肢パターン!G$2,$V52,0)))</f>
        <v>1</v>
      </c>
      <c r="AC52" s="94">
        <f ca="1">IF($V52="","",IF(OFFSET(選択肢パターン!H$2,$V52,0)="","",OFFSET(選択肢パターン!H$2,$V52,0)))</f>
        <v>0.75</v>
      </c>
      <c r="AD52" s="94">
        <f ca="1">IF($V52="","",IF(OFFSET(選択肢パターン!I$2,$V52,0)="","",OFFSET(選択肢パターン!I$2,$V52,0)))</f>
        <v>0.25</v>
      </c>
      <c r="AE52" s="14">
        <f ca="1">IF($V52="","",IF(OFFSET(選択肢パターン!J$2,$V52,0)="","",OFFSET(選択肢パターン!J$2,$V52,0)))</f>
        <v>0</v>
      </c>
      <c r="AF52" s="14" t="str">
        <f ca="1">IF($V52="","",IF(OFFSET(選択肢パターン!K$2,$V52,0)="","",OFFSET(選択肢パターン!K$2,$V52,0)))</f>
        <v/>
      </c>
    </row>
    <row r="53" spans="2:32" ht="19.5" thickBot="1">
      <c r="B53" s="263"/>
      <c r="C53" s="261"/>
      <c r="D53" s="40">
        <v>35</v>
      </c>
      <c r="E53" s="507" t="str">
        <f>VLOOKUP($D53,削減率設定!$C$5:$P$74,2,FALSE)</f>
        <v>蒸気トラップの点検、補修</v>
      </c>
      <c r="F53" s="41" t="str">
        <f>VLOOKUP($D53,削減率設定!$C$5:$P$74,3,FALSE)</f>
        <v>定期的に点検､補修</v>
      </c>
      <c r="G53" s="107" t="str">
        <f>IF(対策チェック!AH60="","",対策チェック!AH60)</f>
        <v/>
      </c>
      <c r="H53" s="25">
        <f t="shared" si="6"/>
        <v>1</v>
      </c>
      <c r="I53" s="83" t="str">
        <f t="shared" ca="1" si="2"/>
        <v/>
      </c>
      <c r="J53" s="513" t="str">
        <f ca="1">IF(IFERROR(OFFSET(削減率設定!$O$3,MATCH($D53,削減率設定!$C$5:$C$74,0)+1,0),0)=0,"-",OFFSET(削減率設定!$O$3,MATCH($D53,削減率設定!$C$5:$C$74,0)+1,0))</f>
        <v>-</v>
      </c>
      <c r="K53" s="198">
        <f ca="1">IFERROR(VLOOKUP(O53,エネルギーシェア!$B$4:$I$23,MATCH("選択中",エネルギーシェア!$B$2:$I$2,0),FALSE)/100,0)+IFERROR(VLOOKUP(P53,エネルギーシェア!$B$4:$I$23,MATCH("選択中",エネルギーシェア!$B$2:$I$2,0),FALSE)/100,0)</f>
        <v>0.25800000000000001</v>
      </c>
      <c r="L53" s="55" t="str">
        <f t="shared" ca="1" si="3"/>
        <v>-</v>
      </c>
      <c r="M53" s="43" t="str">
        <f t="shared" ca="1" si="4"/>
        <v>-</v>
      </c>
      <c r="N53" s="53" t="s">
        <v>71</v>
      </c>
      <c r="O53" s="33" t="str">
        <f>IF($C$4="個別",IF(空調選択用!F27&lt;&gt;"",空調選択用!F27,""),IF(空調選択用!H27&lt;&gt;"",空調選択用!H27,""))</f>
        <v>熱源</v>
      </c>
      <c r="P53" s="33" t="str">
        <f>IF($C$4="個別",IF(空調選択用!G27&lt;&gt;"",空調選択用!G27,""),IF(空調選択用!I27&lt;&gt;"",空調選択用!I27,""))</f>
        <v/>
      </c>
      <c r="Q53" s="134" t="str">
        <f t="shared" ca="1" si="8"/>
        <v>-</v>
      </c>
      <c r="R53" t="str">
        <f ca="1">IF(AND(G53&lt;&gt;W53,G53&lt;&gt;AA53,OR(Q53=1,AND(Q53=2,COUNTIF(Q$39:Q$53,1)&lt;3),AND(Q53=3,COUNTIF(Q$39:Q$53,2)&lt;2,COUNTIF(Q$39:Q53,3)&lt;3))),"・"&amp;E53&amp;CHAR(13),"")</f>
        <v/>
      </c>
      <c r="T53" s="4"/>
      <c r="U53" s="4"/>
      <c r="V53">
        <v>2</v>
      </c>
      <c r="W53" s="70" t="str">
        <f ca="1">IF($V53="","",IF(OFFSET(選択肢パターン!B$2,$V53,0)="","",OFFSET(選択肢パターン!B$2,$V53,0)))</f>
        <v>実施済</v>
      </c>
      <c r="X53" s="70" t="str">
        <f ca="1">IF($V53="","",IF(OFFSET(選択肢パターン!C$2,$V53,0)="","",OFFSET(選択肢パターン!C$2,$V53,0)))</f>
        <v>過半で実施済</v>
      </c>
      <c r="Y53" s="70" t="str">
        <f ca="1">IF($V53="","",IF(OFFSET(選択肢パターン!D$2,$V53,0)="","",OFFSET(選択肢パターン!D$2,$V53,0)))</f>
        <v>一部実施済</v>
      </c>
      <c r="Z53" s="4" t="str">
        <f ca="1">IF($V53="","",IF(OFFSET(選択肢パターン!E$2,$V53,0)="","",OFFSET(選択肢パターン!E$2,$V53,0)))</f>
        <v>未実施</v>
      </c>
      <c r="AA53" s="4" t="str">
        <f ca="1">IF($V53="","",IF(OFFSET(選択肢パターン!F$2,$V53,0)="","",OFFSET(選択肢パターン!F$2,$V53,0)))</f>
        <v>該当なし</v>
      </c>
      <c r="AB53" s="94">
        <f ca="1">IF($V53="","",IF(OFFSET(選択肢パターン!G$2,$V53,0)="","",OFFSET(選択肢パターン!G$2,$V53,0)))</f>
        <v>1</v>
      </c>
      <c r="AC53" s="94">
        <f ca="1">IF($V53="","",IF(OFFSET(選択肢パターン!H$2,$V53,0)="","",OFFSET(選択肢パターン!H$2,$V53,0)))</f>
        <v>0.75</v>
      </c>
      <c r="AD53" s="94">
        <f ca="1">IF($V53="","",IF(OFFSET(選択肢パターン!I$2,$V53,0)="","",OFFSET(選択肢パターン!I$2,$V53,0)))</f>
        <v>0.25</v>
      </c>
      <c r="AE53" s="14">
        <f ca="1">IF($V53="","",IF(OFFSET(選択肢パターン!J$2,$V53,0)="","",OFFSET(選択肢パターン!J$2,$V53,0)))</f>
        <v>0</v>
      </c>
      <c r="AF53" s="14" t="str">
        <f ca="1">IF($V53="","",IF(OFFSET(選択肢パターン!K$2,$V53,0)="","",OFFSET(選択肢パターン!K$2,$V53,0)))</f>
        <v/>
      </c>
    </row>
    <row r="54" spans="2:32">
      <c r="B54" s="262"/>
      <c r="C54" s="278" t="s">
        <v>16</v>
      </c>
      <c r="D54" s="45">
        <v>36</v>
      </c>
      <c r="E54" s="508" t="str">
        <f>VLOOKUP($D54,削減率設定!$C$5:$P$74,2,FALSE)</f>
        <v>CO２濃度管理による外気取入量の削減</v>
      </c>
      <c r="F54" s="46" t="str">
        <f>VLOOKUP($D54,削減率設定!$C$5:$P$74,3,FALSE)</f>
        <v>CO2濃度800ppm程度に外気取入量を調整</v>
      </c>
      <c r="G54" s="106" t="str">
        <f>IF(対策チェック!AH61="","",対策チェック!AH61)</f>
        <v/>
      </c>
      <c r="H54" s="312"/>
      <c r="I54" s="84" t="str">
        <f t="shared" ca="1" si="2"/>
        <v/>
      </c>
      <c r="J54" s="511">
        <f ca="1">IF(IFERROR(OFFSET(削減率設定!$O$3,MATCH($D54,削減率設定!$C$5:$C$74,0)+1,0),0)=0,"-",OFFSET(削減率設定!$O$3,MATCH($D54,削減率設定!$C$5:$C$74,0)+1,0))</f>
        <v>9.4500000000000001E-2</v>
      </c>
      <c r="K54" s="199">
        <f ca="1">IFERROR(VLOOKUP(O54,エネルギーシェア!$B$4:$I$23,MATCH("選択中",エネルギーシェア!$B$2:$I$2,0),FALSE)/100,0)+IFERROR(VLOOKUP(P54,エネルギーシェア!$B$4:$I$23,MATCH("選択中",エネルギーシェア!$B$2:$I$2,0),FALSE)/100,0)</f>
        <v>0.13600000000000001</v>
      </c>
      <c r="L54" s="56" t="str">
        <f t="shared" ca="1" si="3"/>
        <v>-</v>
      </c>
      <c r="M54" s="47" t="str">
        <f t="shared" ca="1" si="4"/>
        <v>-</v>
      </c>
      <c r="N54" s="48" t="s">
        <v>71</v>
      </c>
      <c r="O54" s="32" t="s">
        <v>659</v>
      </c>
      <c r="P54" s="19"/>
      <c r="Q54" s="134" t="str">
        <f ca="1">IFERROR(RANK(L54,$L$54:$L$63),"-")</f>
        <v>-</v>
      </c>
      <c r="R54" t="str">
        <f ca="1">IF(AND(G54&lt;&gt;W54,G54&lt;&gt;AA54,OR(Q54=1,AND(Q54=2,COUNTIF(Q$54:Q$63,1)&lt;3),AND(Q54=3,COUNTIF(Q$54:Q$63,2)&lt;2,COUNTIF(Q$54:Q54,3)&lt;3))),"・"&amp;E54&amp;CHAR(13),"")</f>
        <v/>
      </c>
      <c r="T54" s="4"/>
      <c r="U54" s="4"/>
      <c r="V54">
        <v>2</v>
      </c>
      <c r="W54" s="70" t="str">
        <f ca="1">IF($V54="","",IF(OFFSET(選択肢パターン!B$2,$V54,0)="","",OFFSET(選択肢パターン!B$2,$V54,0)))</f>
        <v>実施済</v>
      </c>
      <c r="X54" s="70" t="str">
        <f ca="1">IF($V54="","",IF(OFFSET(選択肢パターン!C$2,$V54,0)="","",OFFSET(選択肢パターン!C$2,$V54,0)))</f>
        <v>過半で実施済</v>
      </c>
      <c r="Y54" s="70" t="str">
        <f ca="1">IF($V54="","",IF(OFFSET(選択肢パターン!D$2,$V54,0)="","",OFFSET(選択肢パターン!D$2,$V54,0)))</f>
        <v>一部実施済</v>
      </c>
      <c r="Z54" s="4" t="str">
        <f ca="1">IF($V54="","",IF(OFFSET(選択肢パターン!E$2,$V54,0)="","",OFFSET(選択肢パターン!E$2,$V54,0)))</f>
        <v>未実施</v>
      </c>
      <c r="AA54" s="4" t="str">
        <f ca="1">IF($V54="","",IF(OFFSET(選択肢パターン!F$2,$V54,0)="","",OFFSET(選択肢パターン!F$2,$V54,0)))</f>
        <v>該当なし</v>
      </c>
      <c r="AB54" s="94">
        <f ca="1">IF($V54="","",IF(OFFSET(選択肢パターン!G$2,$V54,0)="","",OFFSET(選択肢パターン!G$2,$V54,0)))</f>
        <v>1</v>
      </c>
      <c r="AC54" s="94">
        <f ca="1">IF($V54="","",IF(OFFSET(選択肢パターン!H$2,$V54,0)="","",OFFSET(選択肢パターン!H$2,$V54,0)))</f>
        <v>0.75</v>
      </c>
      <c r="AD54" s="94">
        <f ca="1">IF($V54="","",IF(OFFSET(選択肢パターン!I$2,$V54,0)="","",OFFSET(選択肢パターン!I$2,$V54,0)))</f>
        <v>0.25</v>
      </c>
      <c r="AE54" s="14">
        <f ca="1">IF($V54="","",IF(OFFSET(選択肢パターン!J$2,$V54,0)="","",OFFSET(選択肢パターン!J$2,$V54,0)))</f>
        <v>0</v>
      </c>
      <c r="AF54" s="14" t="str">
        <f ca="1">IF($V54="","",IF(OFFSET(選択肢パターン!K$2,$V54,0)="","",OFFSET(選択肢パターン!K$2,$V54,0)))</f>
        <v/>
      </c>
    </row>
    <row r="55" spans="2:32" ht="31.5">
      <c r="B55" s="263"/>
      <c r="C55" s="255" t="s">
        <v>4</v>
      </c>
      <c r="D55" s="3">
        <v>37</v>
      </c>
      <c r="E55" s="505" t="str">
        <f>VLOOKUP($D55,削減率設定!$C$5:$P$74,2,FALSE)</f>
        <v>給排気量バランスの適正化</v>
      </c>
      <c r="F55" s="5" t="str">
        <f>VLOOKUP($D55,削減率設定!$C$5:$P$74,3,FALSE)</f>
        <v>建物全体が負圧又は過度な正圧にならないように給排気量を調整</v>
      </c>
      <c r="G55" s="105" t="str">
        <f>IF(対策チェック!AH62="","",対策チェック!AH62)</f>
        <v/>
      </c>
      <c r="I55" s="82" t="str">
        <f t="shared" ca="1" si="2"/>
        <v/>
      </c>
      <c r="J55" s="512">
        <f ca="1">IF(IFERROR(OFFSET(削減率設定!$O$3,MATCH($D55,削減率設定!$C$5:$C$74,0)+1,0),0)=0,"-",OFFSET(削減率設定!$O$3,MATCH($D55,削減率設定!$C$5:$C$74,0)+1,0))</f>
        <v>5.0000000000000001E-3</v>
      </c>
      <c r="K55" s="197">
        <f ca="1">IFERROR(VLOOKUP(O55,エネルギーシェア!$B$4:$I$23,MATCH("選択中",エネルギーシェア!$B$2:$I$2,0),FALSE)/100,0)+IFERROR(VLOOKUP(P55,エネルギーシェア!$B$4:$I$23,MATCH("選択中",エネルギーシェア!$B$2:$I$2,0),FALSE)/100,0)</f>
        <v>0.45200000000000001</v>
      </c>
      <c r="L55" s="54" t="str">
        <f t="shared" ca="1" si="3"/>
        <v>-</v>
      </c>
      <c r="M55" s="15" t="str">
        <f t="shared" ca="1" si="4"/>
        <v>-</v>
      </c>
      <c r="N55" s="34" t="s">
        <v>71</v>
      </c>
      <c r="O55" s="32" t="s">
        <v>660</v>
      </c>
      <c r="P55" s="19"/>
      <c r="Q55" s="134" t="str">
        <f t="shared" ref="Q55:Q63" ca="1" si="10">IFERROR(RANK(L55,$L$54:$L$63),"-")</f>
        <v>-</v>
      </c>
      <c r="R55" t="str">
        <f ca="1">IF(AND(G55&lt;&gt;W55,G55&lt;&gt;AA55,OR(Q55=1,AND(Q55=2,COUNTIF(Q$54:Q$63,1)&lt;3),AND(Q55=3,COUNTIF(Q$54:Q$63,2)&lt;2,COUNTIF(Q$54:Q55,3)&lt;3))),"・"&amp;E55&amp;CHAR(13),"")</f>
        <v/>
      </c>
      <c r="T55" s="4"/>
      <c r="U55" s="4"/>
      <c r="V55">
        <v>2</v>
      </c>
      <c r="W55" s="70" t="str">
        <f ca="1">IF($V55="","",IF(OFFSET(選択肢パターン!B$2,$V55,0)="","",OFFSET(選択肢パターン!B$2,$V55,0)))</f>
        <v>実施済</v>
      </c>
      <c r="X55" s="70" t="str">
        <f ca="1">IF($V55="","",IF(OFFSET(選択肢パターン!C$2,$V55,0)="","",OFFSET(選択肢パターン!C$2,$V55,0)))</f>
        <v>過半で実施済</v>
      </c>
      <c r="Y55" s="70" t="str">
        <f ca="1">IF($V55="","",IF(OFFSET(選択肢パターン!D$2,$V55,0)="","",OFFSET(選択肢パターン!D$2,$V55,0)))</f>
        <v>一部実施済</v>
      </c>
      <c r="Z55" s="4" t="str">
        <f ca="1">IF($V55="","",IF(OFFSET(選択肢パターン!E$2,$V55,0)="","",OFFSET(選択肢パターン!E$2,$V55,0)))</f>
        <v>未実施</v>
      </c>
      <c r="AA55" s="4" t="str">
        <f ca="1">IF($V55="","",IF(OFFSET(選択肢パターン!F$2,$V55,0)="","",OFFSET(選択肢パターン!F$2,$V55,0)))</f>
        <v>該当なし</v>
      </c>
      <c r="AB55" s="94">
        <f ca="1">IF($V55="","",IF(OFFSET(選択肢パターン!G$2,$V55,0)="","",OFFSET(選択肢パターン!G$2,$V55,0)))</f>
        <v>1</v>
      </c>
      <c r="AC55" s="94">
        <f ca="1">IF($V55="","",IF(OFFSET(選択肢パターン!H$2,$V55,0)="","",OFFSET(選択肢パターン!H$2,$V55,0)))</f>
        <v>0.75</v>
      </c>
      <c r="AD55" s="94">
        <f ca="1">IF($V55="","",IF(OFFSET(選択肢パターン!I$2,$V55,0)="","",OFFSET(選択肢パターン!I$2,$V55,0)))</f>
        <v>0.25</v>
      </c>
      <c r="AE55" s="14">
        <f ca="1">IF($V55="","",IF(OFFSET(選択肢パターン!J$2,$V55,0)="","",OFFSET(選択肢パターン!J$2,$V55,0)))</f>
        <v>0</v>
      </c>
      <c r="AF55" s="14" t="str">
        <f ca="1">IF($V55="","",IF(OFFSET(選択肢パターン!K$2,$V55,0)="","",OFFSET(選択肢パターン!K$2,$V55,0)))</f>
        <v/>
      </c>
    </row>
    <row r="56" spans="2:32" ht="31.5">
      <c r="B56" s="263"/>
      <c r="C56" s="256"/>
      <c r="D56" s="3">
        <v>38</v>
      </c>
      <c r="E56" s="505" t="str">
        <f>VLOOKUP($D56,削減率設定!$C$5:$P$74,2,FALSE)</f>
        <v>外気冷房の活用</v>
      </c>
      <c r="F56" s="5" t="str">
        <f>VLOOKUP($D56,削減率設定!$C$5:$P$74,3,FALSE)</f>
        <v>・外気を活用して中間期､冬季の冷房負荷を低減
・熱源停止や扉､窓開放ルールの設定､周知､点検</v>
      </c>
      <c r="G56" s="105" t="str">
        <f>IF(対策チェック!AH63="","",対策チェック!AH63)</f>
        <v/>
      </c>
      <c r="I56" s="82" t="str">
        <f t="shared" ca="1" si="2"/>
        <v/>
      </c>
      <c r="J56" s="512">
        <f ca="1">IF(IFERROR(OFFSET(削減率設定!$O$3,MATCH($D56,削減率設定!$C$5:$C$74,0)+1,0),0)=0,"-",OFFSET(削減率設定!$O$3,MATCH($D56,削減率設定!$C$5:$C$74,0)+1,0))</f>
        <v>1.4999999999999999E-2</v>
      </c>
      <c r="K56" s="197">
        <f ca="1">IFERROR(VLOOKUP(O56,エネルギーシェア!$B$4:$I$23,MATCH("選択中",エネルギーシェア!$B$2:$I$2,0),FALSE)/100,0)+IFERROR(VLOOKUP(P56,エネルギーシェア!$B$4:$I$23,MATCH("選択中",エネルギーシェア!$B$2:$I$2,0),FALSE)/100,0)</f>
        <v>0.13600000000000001</v>
      </c>
      <c r="L56" s="54" t="str">
        <f t="shared" ca="1" si="3"/>
        <v>-</v>
      </c>
      <c r="M56" s="15" t="str">
        <f t="shared" ca="1" si="4"/>
        <v>-</v>
      </c>
      <c r="N56" s="34" t="s">
        <v>71</v>
      </c>
      <c r="O56" s="32" t="s">
        <v>659</v>
      </c>
      <c r="P56" s="19"/>
      <c r="Q56" s="134" t="str">
        <f t="shared" ca="1" si="10"/>
        <v>-</v>
      </c>
      <c r="R56" t="str">
        <f ca="1">IF(AND(G56&lt;&gt;W56,G56&lt;&gt;AA56,OR(Q56=1,AND(Q56=2,COUNTIF(Q$54:Q$63,1)&lt;3),AND(Q56=3,COUNTIF(Q$54:Q$63,2)&lt;2,COUNTIF(Q$54:Q56,3)&lt;3))),"・"&amp;E56&amp;CHAR(13),"")</f>
        <v/>
      </c>
      <c r="T56" s="4"/>
      <c r="U56" s="4"/>
      <c r="V56">
        <v>2</v>
      </c>
      <c r="W56" s="70" t="str">
        <f ca="1">IF($V56="","",IF(OFFSET(選択肢パターン!B$2,$V56,0)="","",OFFSET(選択肢パターン!B$2,$V56,0)))</f>
        <v>実施済</v>
      </c>
      <c r="X56" s="70" t="str">
        <f ca="1">IF($V56="","",IF(OFFSET(選択肢パターン!C$2,$V56,0)="","",OFFSET(選択肢パターン!C$2,$V56,0)))</f>
        <v>過半で実施済</v>
      </c>
      <c r="Y56" s="70" t="str">
        <f ca="1">IF($V56="","",IF(OFFSET(選択肢パターン!D$2,$V56,0)="","",OFFSET(選択肢パターン!D$2,$V56,0)))</f>
        <v>一部実施済</v>
      </c>
      <c r="Z56" s="4" t="str">
        <f ca="1">IF($V56="","",IF(OFFSET(選択肢パターン!E$2,$V56,0)="","",OFFSET(選択肢パターン!E$2,$V56,0)))</f>
        <v>未実施</v>
      </c>
      <c r="AA56" s="4" t="str">
        <f ca="1">IF($V56="","",IF(OFFSET(選択肢パターン!F$2,$V56,0)="","",OFFSET(選択肢パターン!F$2,$V56,0)))</f>
        <v>該当なし</v>
      </c>
      <c r="AB56" s="94">
        <f ca="1">IF($V56="","",IF(OFFSET(選択肢パターン!G$2,$V56,0)="","",OFFSET(選択肢パターン!G$2,$V56,0)))</f>
        <v>1</v>
      </c>
      <c r="AC56" s="94">
        <f ca="1">IF($V56="","",IF(OFFSET(選択肢パターン!H$2,$V56,0)="","",OFFSET(選択肢パターン!H$2,$V56,0)))</f>
        <v>0.75</v>
      </c>
      <c r="AD56" s="94">
        <f ca="1">IF($V56="","",IF(OFFSET(選択肢パターン!I$2,$V56,0)="","",OFFSET(選択肢パターン!I$2,$V56,0)))</f>
        <v>0.25</v>
      </c>
      <c r="AE56" s="14">
        <f ca="1">IF($V56="","",IF(OFFSET(選択肢パターン!J$2,$V56,0)="","",OFFSET(選択肢パターン!J$2,$V56,0)))</f>
        <v>0</v>
      </c>
      <c r="AF56" s="14" t="str">
        <f ca="1">IF($V56="","",IF(OFFSET(選択肢パターン!K$2,$V56,0)="","",OFFSET(選択肢パターン!K$2,$V56,0)))</f>
        <v/>
      </c>
    </row>
    <row r="57" spans="2:32" ht="31.5">
      <c r="B57" s="263"/>
      <c r="C57" s="256"/>
      <c r="D57" s="3">
        <v>39</v>
      </c>
      <c r="E57" s="505" t="str">
        <f>VLOOKUP($D57,削減率設定!$C$5:$P$74,2,FALSE)</f>
        <v>夜間、早朝の外気活用（ナイトパージ）</v>
      </c>
      <c r="F57" s="5" t="str">
        <f>VLOOKUP($D57,削減率設定!$C$5:$P$74,3,FALSE)</f>
        <v>・夜間､早朝の外気を活用して冷房負荷を低減
・外気取入れルールの設定､周知､点検</v>
      </c>
      <c r="G57" s="105" t="str">
        <f>IF(対策チェック!AH64="","",対策チェック!AH64)</f>
        <v/>
      </c>
      <c r="I57" s="82" t="str">
        <f t="shared" ca="1" si="2"/>
        <v/>
      </c>
      <c r="J57" s="512">
        <f ca="1">IF(IFERROR(OFFSET(削減率設定!$O$3,MATCH($D57,削減率設定!$C$5:$C$74,0)+1,0),0)=0,"-",OFFSET(削減率設定!$O$3,MATCH($D57,削減率設定!$C$5:$C$74,0)+1,0))</f>
        <v>1.4999999999999999E-2</v>
      </c>
      <c r="K57" s="197">
        <f ca="1">IFERROR(VLOOKUP(O57,エネルギーシェア!$B$4:$I$23,MATCH("選択中",エネルギーシェア!$B$2:$I$2,0),FALSE)/100,0)+IFERROR(VLOOKUP(P57,エネルギーシェア!$B$4:$I$23,MATCH("選択中",エネルギーシェア!$B$2:$I$2,0),FALSE)/100,0)</f>
        <v>0.13600000000000001</v>
      </c>
      <c r="L57" s="54" t="str">
        <f t="shared" ca="1" si="3"/>
        <v>-</v>
      </c>
      <c r="M57" s="15" t="str">
        <f t="shared" ca="1" si="4"/>
        <v>-</v>
      </c>
      <c r="N57" s="34" t="s">
        <v>71</v>
      </c>
      <c r="O57" s="32" t="s">
        <v>659</v>
      </c>
      <c r="P57" s="19"/>
      <c r="Q57" s="134" t="str">
        <f t="shared" ca="1" si="10"/>
        <v>-</v>
      </c>
      <c r="R57" t="str">
        <f ca="1">IF(AND(G57&lt;&gt;W57,G57&lt;&gt;AA57,OR(Q57=1,AND(Q57=2,COUNTIF(Q$54:Q$63,1)&lt;3),AND(Q57=3,COUNTIF(Q$54:Q$63,2)&lt;2,COUNTIF(Q$54:Q57,3)&lt;3))),"・"&amp;E57&amp;CHAR(13),"")</f>
        <v/>
      </c>
      <c r="T57" s="4"/>
      <c r="U57" s="4"/>
      <c r="V57">
        <v>2</v>
      </c>
      <c r="W57" s="70" t="str">
        <f ca="1">IF($V57="","",IF(OFFSET(選択肢パターン!B$2,$V57,0)="","",OFFSET(選択肢パターン!B$2,$V57,0)))</f>
        <v>実施済</v>
      </c>
      <c r="X57" s="70" t="str">
        <f ca="1">IF($V57="","",IF(OFFSET(選択肢パターン!C$2,$V57,0)="","",OFFSET(選択肢パターン!C$2,$V57,0)))</f>
        <v>過半で実施済</v>
      </c>
      <c r="Y57" s="70" t="str">
        <f ca="1">IF($V57="","",IF(OFFSET(選択肢パターン!D$2,$V57,0)="","",OFFSET(選択肢パターン!D$2,$V57,0)))</f>
        <v>一部実施済</v>
      </c>
      <c r="Z57" s="4" t="str">
        <f ca="1">IF($V57="","",IF(OFFSET(選択肢パターン!E$2,$V57,0)="","",OFFSET(選択肢パターン!E$2,$V57,0)))</f>
        <v>未実施</v>
      </c>
      <c r="AA57" s="4" t="str">
        <f ca="1">IF($V57="","",IF(OFFSET(選択肢パターン!F$2,$V57,0)="","",OFFSET(選択肢パターン!F$2,$V57,0)))</f>
        <v>該当なし</v>
      </c>
      <c r="AB57" s="94">
        <f ca="1">IF($V57="","",IF(OFFSET(選択肢パターン!G$2,$V57,0)="","",OFFSET(選択肢パターン!G$2,$V57,0)))</f>
        <v>1</v>
      </c>
      <c r="AC57" s="94">
        <f ca="1">IF($V57="","",IF(OFFSET(選択肢パターン!H$2,$V57,0)="","",OFFSET(選択肢パターン!H$2,$V57,0)))</f>
        <v>0.75</v>
      </c>
      <c r="AD57" s="94">
        <f ca="1">IF($V57="","",IF(OFFSET(選択肢パターン!I$2,$V57,0)="","",OFFSET(選択肢パターン!I$2,$V57,0)))</f>
        <v>0.25</v>
      </c>
      <c r="AE57" s="14">
        <f ca="1">IF($V57="","",IF(OFFSET(選択肢パターン!J$2,$V57,0)="","",OFFSET(選択肢パターン!J$2,$V57,0)))</f>
        <v>0</v>
      </c>
      <c r="AF57" s="14" t="str">
        <f ca="1">IF($V57="","",IF(OFFSET(選択肢パターン!K$2,$V57,0)="","",OFFSET(選択肢パターン!K$2,$V57,0)))</f>
        <v/>
      </c>
    </row>
    <row r="58" spans="2:32" ht="24">
      <c r="B58" s="264" t="s">
        <v>345</v>
      </c>
      <c r="C58" s="266">
        <f ca="1">SUM(L54:L63)</f>
        <v>0</v>
      </c>
      <c r="D58" s="3">
        <v>40</v>
      </c>
      <c r="E58" s="505" t="str">
        <f>VLOOKUP($D58,削減率設定!$C$5:$P$74,2,FALSE)</f>
        <v>電気室、機械室の室温の適正化</v>
      </c>
      <c r="F58" s="5" t="str">
        <f>VLOOKUP($D58,削減率設定!$C$5:$P$74,3,FALSE)</f>
        <v>ファンの運転開始設定温度を35℃程度に緩和し、運転時間を短縮</v>
      </c>
      <c r="G58" s="105" t="str">
        <f>IF(対策チェック!AH65="","",対策チェック!AH65)</f>
        <v/>
      </c>
      <c r="I58" s="82" t="str">
        <f t="shared" ca="1" si="2"/>
        <v/>
      </c>
      <c r="J58" s="512">
        <f ca="1">IF(IFERROR(OFFSET(削減率設定!$O$3,MATCH($D58,削減率設定!$C$5:$C$74,0)+1,0),0)=0,"-",OFFSET(削減率設定!$O$3,MATCH($D58,削減率設定!$C$5:$C$74,0)+1,0))</f>
        <v>3.5000000000000003E-2</v>
      </c>
      <c r="K58" s="197">
        <f ca="1">IFERROR(VLOOKUP(O58,エネルギーシェア!$B$4:$I$23,MATCH("選択中",エネルギーシェア!$B$2:$I$2,0),FALSE)/100,0)+IFERROR(VLOOKUP(P58,エネルギーシェア!$B$4:$I$23,MATCH("選択中",エネルギーシェア!$B$2:$I$2,0),FALSE)/100,0)</f>
        <v>6.2E-2</v>
      </c>
      <c r="L58" s="54" t="str">
        <f t="shared" ca="1" si="3"/>
        <v>-</v>
      </c>
      <c r="M58" s="15" t="str">
        <f t="shared" ca="1" si="4"/>
        <v>-</v>
      </c>
      <c r="N58" s="34" t="s">
        <v>71</v>
      </c>
      <c r="O58" s="32" t="s">
        <v>52</v>
      </c>
      <c r="P58" s="19"/>
      <c r="Q58" s="134" t="str">
        <f t="shared" ca="1" si="10"/>
        <v>-</v>
      </c>
      <c r="R58" t="str">
        <f ca="1">IF(AND(G58&lt;&gt;W58,G58&lt;&gt;AA58,OR(Q58=1,AND(Q58=2,COUNTIF(Q$54:Q$63,1)&lt;3),AND(Q58=3,COUNTIF(Q$54:Q$63,2)&lt;2,COUNTIF(Q$54:Q58,3)&lt;3))),"・"&amp;E58&amp;CHAR(13),"")</f>
        <v/>
      </c>
      <c r="T58" s="4"/>
      <c r="U58" s="4"/>
      <c r="V58">
        <v>2</v>
      </c>
      <c r="W58" s="70" t="str">
        <f ca="1">IF($V58="","",IF(OFFSET(選択肢パターン!B$2,$V58,0)="","",OFFSET(選択肢パターン!B$2,$V58,0)))</f>
        <v>実施済</v>
      </c>
      <c r="X58" s="70" t="str">
        <f ca="1">IF($V58="","",IF(OFFSET(選択肢パターン!C$2,$V58,0)="","",OFFSET(選択肢パターン!C$2,$V58,0)))</f>
        <v>過半で実施済</v>
      </c>
      <c r="Y58" s="70" t="str">
        <f ca="1">IF($V58="","",IF(OFFSET(選択肢パターン!D$2,$V58,0)="","",OFFSET(選択肢パターン!D$2,$V58,0)))</f>
        <v>一部実施済</v>
      </c>
      <c r="Z58" s="4" t="str">
        <f ca="1">IF($V58="","",IF(OFFSET(選択肢パターン!E$2,$V58,0)="","",OFFSET(選択肢パターン!E$2,$V58,0)))</f>
        <v>未実施</v>
      </c>
      <c r="AA58" s="4" t="str">
        <f ca="1">IF($V58="","",IF(OFFSET(選択肢パターン!F$2,$V58,0)="","",OFFSET(選択肢パターン!F$2,$V58,0)))</f>
        <v>該当なし</v>
      </c>
      <c r="AB58" s="94">
        <f ca="1">IF($V58="","",IF(OFFSET(選択肢パターン!G$2,$V58,0)="","",OFFSET(選択肢パターン!G$2,$V58,0)))</f>
        <v>1</v>
      </c>
      <c r="AC58" s="94">
        <f ca="1">IF($V58="","",IF(OFFSET(選択肢パターン!H$2,$V58,0)="","",OFFSET(選択肢パターン!H$2,$V58,0)))</f>
        <v>0.75</v>
      </c>
      <c r="AD58" s="94">
        <f ca="1">IF($V58="","",IF(OFFSET(選択肢パターン!I$2,$V58,0)="","",OFFSET(選択肢パターン!I$2,$V58,0)))</f>
        <v>0.25</v>
      </c>
      <c r="AE58" s="14">
        <f ca="1">IF($V58="","",IF(OFFSET(選択肢パターン!J$2,$V58,0)="","",OFFSET(選択肢パターン!J$2,$V58,0)))</f>
        <v>0</v>
      </c>
      <c r="AF58" s="14" t="str">
        <f ca="1">IF($V58="","",IF(OFFSET(選択肢パターン!K$2,$V58,0)="","",OFFSET(選択肢パターン!K$2,$V58,0)))</f>
        <v/>
      </c>
    </row>
    <row r="59" spans="2:32" ht="37.5">
      <c r="B59" s="254" t="s">
        <v>349</v>
      </c>
      <c r="C59" s="267">
        <f ca="1">SUM(M54:M63)</f>
        <v>0</v>
      </c>
      <c r="D59" s="40">
        <v>41</v>
      </c>
      <c r="E59" s="505" t="str">
        <f>VLOOKUP($D59,削減率設定!$C$5:$P$74,2,FALSE)</f>
        <v>倉庫等の換気量の制限</v>
      </c>
      <c r="F59" s="5" t="str">
        <f>VLOOKUP($D59,削減率設定!$C$5:$P$74,3,FALSE)</f>
        <v>非連続運転の実施（例：入室時のみ運転等）</v>
      </c>
      <c r="G59" s="105" t="str">
        <f>IF(対策チェック!AH66="","",対策チェック!AH66)</f>
        <v/>
      </c>
      <c r="I59" s="82" t="str">
        <f t="shared" ca="1" si="2"/>
        <v/>
      </c>
      <c r="J59" s="512">
        <f ca="1">IF(IFERROR(OFFSET(削減率設定!$O$3,MATCH($D59,削減率設定!$C$5:$C$74,0)+1,0),0)=0,"-",OFFSET(削減率設定!$O$3,MATCH($D59,削減率設定!$C$5:$C$74,0)+1,0))</f>
        <v>0.05</v>
      </c>
      <c r="K59" s="197">
        <f ca="1">IFERROR(VLOOKUP(O59,エネルギーシェア!$B$4:$I$23,MATCH("選択中",エネルギーシェア!$B$2:$I$2,0),FALSE)/100,0)+IFERROR(VLOOKUP(P59,エネルギーシェア!$B$4:$I$23,MATCH("選択中",エネルギーシェア!$B$2:$I$2,0),FALSE)/100,0)</f>
        <v>6.2E-2</v>
      </c>
      <c r="L59" s="54" t="str">
        <f t="shared" ca="1" si="3"/>
        <v>-</v>
      </c>
      <c r="M59" s="15" t="str">
        <f t="shared" ca="1" si="4"/>
        <v>-</v>
      </c>
      <c r="N59" s="34" t="s">
        <v>71</v>
      </c>
      <c r="O59" s="32" t="s">
        <v>52</v>
      </c>
      <c r="P59" s="19"/>
      <c r="Q59" s="134" t="str">
        <f t="shared" ca="1" si="10"/>
        <v>-</v>
      </c>
      <c r="R59" t="str">
        <f ca="1">IF(AND(G59&lt;&gt;W59,G59&lt;&gt;AA59,OR(Q59=1,AND(Q59=2,COUNTIF(Q$54:Q$63,1)&lt;3),AND(Q59=3,COUNTIF(Q$54:Q$63,2)&lt;2,COUNTIF(Q$54:Q59,3)&lt;3))),"・"&amp;E59&amp;CHAR(13),"")</f>
        <v/>
      </c>
      <c r="T59" s="4"/>
      <c r="U59" s="4"/>
      <c r="V59">
        <v>2</v>
      </c>
      <c r="W59" s="70" t="str">
        <f ca="1">IF($V59="","",IF(OFFSET(選択肢パターン!B$2,$V59,0)="","",OFFSET(選択肢パターン!B$2,$V59,0)))</f>
        <v>実施済</v>
      </c>
      <c r="X59" s="70" t="str">
        <f ca="1">IF($V59="","",IF(OFFSET(選択肢パターン!C$2,$V59,0)="","",OFFSET(選択肢パターン!C$2,$V59,0)))</f>
        <v>過半で実施済</v>
      </c>
      <c r="Y59" s="70" t="str">
        <f ca="1">IF($V59="","",IF(OFFSET(選択肢パターン!D$2,$V59,0)="","",OFFSET(選択肢パターン!D$2,$V59,0)))</f>
        <v>一部実施済</v>
      </c>
      <c r="Z59" s="4" t="str">
        <f ca="1">IF($V59="","",IF(OFFSET(選択肢パターン!E$2,$V59,0)="","",OFFSET(選択肢パターン!E$2,$V59,0)))</f>
        <v>未実施</v>
      </c>
      <c r="AA59" s="4" t="str">
        <f ca="1">IF($V59="","",IF(OFFSET(選択肢パターン!F$2,$V59,0)="","",OFFSET(選択肢パターン!F$2,$V59,0)))</f>
        <v>該当なし</v>
      </c>
      <c r="AB59" s="94">
        <f ca="1">IF($V59="","",IF(OFFSET(選択肢パターン!G$2,$V59,0)="","",OFFSET(選択肢パターン!G$2,$V59,0)))</f>
        <v>1</v>
      </c>
      <c r="AC59" s="94">
        <f ca="1">IF($V59="","",IF(OFFSET(選択肢パターン!H$2,$V59,0)="","",OFFSET(選択肢パターン!H$2,$V59,0)))</f>
        <v>0.75</v>
      </c>
      <c r="AD59" s="94">
        <f ca="1">IF($V59="","",IF(OFFSET(選択肢パターン!I$2,$V59,0)="","",OFFSET(選択肢パターン!I$2,$V59,0)))</f>
        <v>0.25</v>
      </c>
      <c r="AE59" s="14">
        <f ca="1">IF($V59="","",IF(OFFSET(選択肢パターン!J$2,$V59,0)="","",OFFSET(選択肢パターン!J$2,$V59,0)))</f>
        <v>0</v>
      </c>
      <c r="AF59" s="14" t="str">
        <f ca="1">IF($V59="","",IF(OFFSET(選択肢パターン!K$2,$V59,0)="","",OFFSET(選択肢パターン!K$2,$V59,0)))</f>
        <v/>
      </c>
    </row>
    <row r="60" spans="2:32" ht="37.5">
      <c r="B60" s="254" t="s">
        <v>350</v>
      </c>
      <c r="C60" s="359">
        <f ca="1">10*SUM(I54:I63)/(10-COUNTIF(G54:G63,"該当なし"))</f>
        <v>0</v>
      </c>
      <c r="D60" s="3">
        <v>42</v>
      </c>
      <c r="E60" s="505" t="str">
        <f>VLOOKUP($D60,削減率設定!$C$5:$P$74,2,FALSE)</f>
        <v>屋内駐車場の換気量の抑制</v>
      </c>
      <c r="F60" s="5" t="str">
        <f>VLOOKUP($D60,削減率設定!$C$5:$P$74,3,FALSE)</f>
        <v>CO濃度25ppm程度以下に風量を抑制</v>
      </c>
      <c r="G60" s="105" t="str">
        <f>IF(対策チェック!AH67="","",対策チェック!AH67)</f>
        <v/>
      </c>
      <c r="I60" s="82" t="str">
        <f t="shared" ca="1" si="2"/>
        <v/>
      </c>
      <c r="J60" s="512">
        <f ca="1">IF(IFERROR(OFFSET(削減率設定!$O$3,MATCH($D60,削減率設定!$C$5:$C$74,0)+1,0),0)=0,"-",OFFSET(削減率設定!$O$3,MATCH($D60,削減率設定!$C$5:$C$74,0)+1,0))</f>
        <v>0.2</v>
      </c>
      <c r="K60" s="197">
        <f ca="1">IFERROR(VLOOKUP(O60,エネルギーシェア!$B$4:$I$23,MATCH("選択中",エネルギーシェア!$B$2:$I$2,0),FALSE)/100,0)+IFERROR(VLOOKUP(P60,エネルギーシェア!$B$4:$I$23,MATCH("選択中",エネルギーシェア!$B$2:$I$2,0),FALSE)/100,0)</f>
        <v>6.2E-2</v>
      </c>
      <c r="L60" s="54" t="str">
        <f t="shared" ca="1" si="3"/>
        <v>-</v>
      </c>
      <c r="M60" s="15" t="str">
        <f t="shared" ca="1" si="4"/>
        <v>-</v>
      </c>
      <c r="N60" s="34" t="s">
        <v>71</v>
      </c>
      <c r="O60" s="32" t="s">
        <v>52</v>
      </c>
      <c r="P60" s="19"/>
      <c r="Q60" s="134" t="str">
        <f t="shared" ca="1" si="10"/>
        <v>-</v>
      </c>
      <c r="R60" t="str">
        <f ca="1">IF(AND(G60&lt;&gt;W60,G60&lt;&gt;AA60,OR(Q60=1,AND(Q60=2,COUNTIF(Q$54:Q$63,1)&lt;3),AND(Q60=3,COUNTIF(Q$54:Q$63,2)&lt;2,COUNTIF(Q$54:Q60,3)&lt;3))),"・"&amp;E60&amp;CHAR(13),"")</f>
        <v/>
      </c>
      <c r="T60" s="4"/>
      <c r="U60" s="4"/>
      <c r="V60">
        <v>2</v>
      </c>
      <c r="W60" s="70" t="str">
        <f ca="1">IF($V60="","",IF(OFFSET(選択肢パターン!B$2,$V60,0)="","",OFFSET(選択肢パターン!B$2,$V60,0)))</f>
        <v>実施済</v>
      </c>
      <c r="X60" s="70" t="str">
        <f ca="1">IF($V60="","",IF(OFFSET(選択肢パターン!C$2,$V60,0)="","",OFFSET(選択肢パターン!C$2,$V60,0)))</f>
        <v>過半で実施済</v>
      </c>
      <c r="Y60" s="70" t="str">
        <f ca="1">IF($V60="","",IF(OFFSET(選択肢パターン!D$2,$V60,0)="","",OFFSET(選択肢パターン!D$2,$V60,0)))</f>
        <v>一部実施済</v>
      </c>
      <c r="Z60" s="4" t="str">
        <f ca="1">IF($V60="","",IF(OFFSET(選択肢パターン!E$2,$V60,0)="","",OFFSET(選択肢パターン!E$2,$V60,0)))</f>
        <v>未実施</v>
      </c>
      <c r="AA60" s="4" t="str">
        <f ca="1">IF($V60="","",IF(OFFSET(選択肢パターン!F$2,$V60,0)="","",OFFSET(選択肢パターン!F$2,$V60,0)))</f>
        <v>該当なし</v>
      </c>
      <c r="AB60" s="94">
        <f ca="1">IF($V60="","",IF(OFFSET(選択肢パターン!G$2,$V60,0)="","",OFFSET(選択肢パターン!G$2,$V60,0)))</f>
        <v>1</v>
      </c>
      <c r="AC60" s="94">
        <f ca="1">IF($V60="","",IF(OFFSET(選択肢パターン!H$2,$V60,0)="","",OFFSET(選択肢パターン!H$2,$V60,0)))</f>
        <v>0.75</v>
      </c>
      <c r="AD60" s="94">
        <f ca="1">IF($V60="","",IF(OFFSET(選択肢パターン!I$2,$V60,0)="","",OFFSET(選択肢パターン!I$2,$V60,0)))</f>
        <v>0.25</v>
      </c>
      <c r="AE60" s="14">
        <f ca="1">IF($V60="","",IF(OFFSET(選択肢パターン!J$2,$V60,0)="","",OFFSET(選択肢パターン!J$2,$V60,0)))</f>
        <v>0</v>
      </c>
      <c r="AF60" s="14" t="str">
        <f ca="1">IF($V60="","",IF(OFFSET(選択肢パターン!K$2,$V60,0)="","",OFFSET(選択肢パターン!K$2,$V60,0)))</f>
        <v/>
      </c>
    </row>
    <row r="61" spans="2:32">
      <c r="B61" s="1" t="s">
        <v>577</v>
      </c>
      <c r="C61" s="260" t="e">
        <f ca="1">$F$9*C59</f>
        <v>#N/A</v>
      </c>
      <c r="D61" s="3">
        <v>43</v>
      </c>
      <c r="E61" s="505" t="str">
        <f>VLOOKUP($D61,削減率設定!$C$5:$P$74,2,FALSE)</f>
        <v>厨房換気ファンの運転時間の適正化</v>
      </c>
      <c r="F61" s="5" t="str">
        <f>VLOOKUP($D61,削減率設定!$C$5:$P$74,3,FALSE)</f>
        <v>厨房機器の運転状況に合わせて個別にオン・オフ</v>
      </c>
      <c r="G61" s="105" t="str">
        <f>IF(対策チェック!AH68="","",対策チェック!AH68)</f>
        <v/>
      </c>
      <c r="I61" s="82" t="str">
        <f t="shared" ca="1" si="2"/>
        <v/>
      </c>
      <c r="J61" s="512">
        <f ca="1">IF(IFERROR(OFFSET(削減率設定!$O$3,MATCH($D61,削減率設定!$C$5:$C$74,0)+1,0),0)=0,"-",OFFSET(削減率設定!$O$3,MATCH($D61,削減率設定!$C$5:$C$74,0)+1,0))</f>
        <v>7.5999999999999998E-2</v>
      </c>
      <c r="K61" s="197">
        <f ca="1">IFERROR(VLOOKUP(O61,エネルギーシェア!$B$4:$I$23,MATCH("選択中",エネルギーシェア!$B$2:$I$2,0),FALSE)/100,0)+IFERROR(VLOOKUP(P61,エネルギーシェア!$B$4:$I$23,MATCH("選択中",エネルギーシェア!$B$2:$I$2,0),FALSE)/100,0)</f>
        <v>0.45200000000000001</v>
      </c>
      <c r="L61" s="54" t="str">
        <f t="shared" ca="1" si="3"/>
        <v>-</v>
      </c>
      <c r="M61" s="15" t="str">
        <f t="shared" ca="1" si="4"/>
        <v>-</v>
      </c>
      <c r="N61" s="34" t="s">
        <v>71</v>
      </c>
      <c r="O61" s="32" t="s">
        <v>660</v>
      </c>
      <c r="P61" s="19"/>
      <c r="Q61" s="134" t="str">
        <f t="shared" ca="1" si="10"/>
        <v>-</v>
      </c>
      <c r="R61" t="str">
        <f ca="1">IF(AND(G61&lt;&gt;W61,G61&lt;&gt;AA61,OR(Q61=1,AND(Q61=2,COUNTIF(Q$54:Q$63,1)&lt;3),AND(Q61=3,COUNTIF(Q$54:Q$63,2)&lt;2,COUNTIF(Q$54:Q61,3)&lt;3))),"・"&amp;E61&amp;CHAR(13),"")</f>
        <v/>
      </c>
      <c r="T61" s="4"/>
      <c r="U61" s="4"/>
      <c r="V61">
        <v>2</v>
      </c>
      <c r="W61" s="70" t="str">
        <f ca="1">IF($V61="","",IF(OFFSET(選択肢パターン!B$2,$V61,0)="","",OFFSET(選択肢パターン!B$2,$V61,0)))</f>
        <v>実施済</v>
      </c>
      <c r="X61" s="70" t="str">
        <f ca="1">IF($V61="","",IF(OFFSET(選択肢パターン!C$2,$V61,0)="","",OFFSET(選択肢パターン!C$2,$V61,0)))</f>
        <v>過半で実施済</v>
      </c>
      <c r="Y61" s="70" t="str">
        <f ca="1">IF($V61="","",IF(OFFSET(選択肢パターン!D$2,$V61,0)="","",OFFSET(選択肢パターン!D$2,$V61,0)))</f>
        <v>一部実施済</v>
      </c>
      <c r="Z61" s="4" t="str">
        <f ca="1">IF($V61="","",IF(OFFSET(選択肢パターン!E$2,$V61,0)="","",OFFSET(選択肢パターン!E$2,$V61,0)))</f>
        <v>未実施</v>
      </c>
      <c r="AA61" s="4" t="str">
        <f ca="1">IF($V61="","",IF(OFFSET(選択肢パターン!F$2,$V61,0)="","",OFFSET(選択肢パターン!F$2,$V61,0)))</f>
        <v>該当なし</v>
      </c>
      <c r="AB61" s="94">
        <f ca="1">IF($V61="","",IF(OFFSET(選択肢パターン!G$2,$V61,0)="","",OFFSET(選択肢パターン!G$2,$V61,0)))</f>
        <v>1</v>
      </c>
      <c r="AC61" s="94">
        <f ca="1">IF($V61="","",IF(OFFSET(選択肢パターン!H$2,$V61,0)="","",OFFSET(選択肢パターン!H$2,$V61,0)))</f>
        <v>0.75</v>
      </c>
      <c r="AD61" s="94">
        <f ca="1">IF($V61="","",IF(OFFSET(選択肢パターン!I$2,$V61,0)="","",OFFSET(選択肢パターン!I$2,$V61,0)))</f>
        <v>0.25</v>
      </c>
      <c r="AE61" s="14">
        <f ca="1">IF($V61="","",IF(OFFSET(選択肢パターン!J$2,$V61,0)="","",OFFSET(選択肢パターン!J$2,$V61,0)))</f>
        <v>0</v>
      </c>
      <c r="AF61" s="14" t="str">
        <f ca="1">IF($V61="","",IF(OFFSET(選択肢パターン!K$2,$V61,0)="","",OFFSET(選択肢パターン!K$2,$V61,0)))</f>
        <v/>
      </c>
    </row>
    <row r="62" spans="2:32">
      <c r="B62" s="263"/>
      <c r="C62" s="256"/>
      <c r="D62" s="3">
        <v>44</v>
      </c>
      <c r="E62" s="505" t="str">
        <f>VLOOKUP($D62,削減率設定!$C$5:$P$74,2,FALSE)</f>
        <v>全熱交換器の適正な運用</v>
      </c>
      <c r="F62" s="5" t="str">
        <f>VLOOKUP($D62,削減率設定!$C$5:$P$74,3,FALSE)</f>
        <v>夏季、冬季、中間期に換気モード切替のルール設定</v>
      </c>
      <c r="G62" s="105" t="str">
        <f>IF(対策チェック!AH69="","",対策チェック!AH69)</f>
        <v/>
      </c>
      <c r="I62" s="82" t="str">
        <f t="shared" ca="1" si="2"/>
        <v/>
      </c>
      <c r="J62" s="512">
        <f ca="1">IF(IFERROR(OFFSET(削減率設定!$O$3,MATCH($D62,削減率設定!$C$5:$C$74,0)+1,0),0)=0,"-",OFFSET(削減率設定!$O$3,MATCH($D62,削減率設定!$C$5:$C$74,0)+1,0))</f>
        <v>9.4500000000000001E-2</v>
      </c>
      <c r="K62" s="197">
        <f ca="1">IFERROR(VLOOKUP(O62,エネルギーシェア!$B$4:$I$23,MATCH("選択中",エネルギーシェア!$B$2:$I$2,0),FALSE)/100,0)+IFERROR(VLOOKUP(P62,エネルギーシェア!$B$4:$I$23,MATCH("選択中",エネルギーシェア!$B$2:$I$2,0),FALSE)/100,0)</f>
        <v>0.13600000000000001</v>
      </c>
      <c r="L62" s="54" t="str">
        <f t="shared" ca="1" si="3"/>
        <v>-</v>
      </c>
      <c r="M62" s="15" t="str">
        <f t="shared" ca="1" si="4"/>
        <v>-</v>
      </c>
      <c r="N62" s="34" t="s">
        <v>71</v>
      </c>
      <c r="O62" s="32" t="s">
        <v>659</v>
      </c>
      <c r="P62" s="19"/>
      <c r="Q62" s="134" t="str">
        <f t="shared" ca="1" si="10"/>
        <v>-</v>
      </c>
      <c r="R62" t="str">
        <f ca="1">IF(AND(G62&lt;&gt;W62,G62&lt;&gt;AA62,OR(Q62=1,AND(Q62=2,COUNTIF(Q$54:Q$63,1)&lt;3),AND(Q62=3,COUNTIF(Q$54:Q$63,2)&lt;2,COUNTIF(Q$54:Q62,3)&lt;3))),"・"&amp;E62&amp;CHAR(13),"")</f>
        <v/>
      </c>
      <c r="T62" s="4"/>
      <c r="U62" s="4"/>
      <c r="V62">
        <v>2</v>
      </c>
      <c r="W62" s="70" t="str">
        <f ca="1">IF($V62="","",IF(OFFSET(選択肢パターン!B$2,$V62,0)="","",OFFSET(選択肢パターン!B$2,$V62,0)))</f>
        <v>実施済</v>
      </c>
      <c r="X62" s="70" t="str">
        <f ca="1">IF($V62="","",IF(OFFSET(選択肢パターン!C$2,$V62,0)="","",OFFSET(選択肢パターン!C$2,$V62,0)))</f>
        <v>過半で実施済</v>
      </c>
      <c r="Y62" s="70" t="str">
        <f ca="1">IF($V62="","",IF(OFFSET(選択肢パターン!D$2,$V62,0)="","",OFFSET(選択肢パターン!D$2,$V62,0)))</f>
        <v>一部実施済</v>
      </c>
      <c r="Z62" s="4" t="str">
        <f ca="1">IF($V62="","",IF(OFFSET(選択肢パターン!E$2,$V62,0)="","",OFFSET(選択肢パターン!E$2,$V62,0)))</f>
        <v>未実施</v>
      </c>
      <c r="AA62" s="4" t="str">
        <f ca="1">IF($V62="","",IF(OFFSET(選択肢パターン!F$2,$V62,0)="","",OFFSET(選択肢パターン!F$2,$V62,0)))</f>
        <v>該当なし</v>
      </c>
      <c r="AB62" s="94">
        <f ca="1">IF($V62="","",IF(OFFSET(選択肢パターン!G$2,$V62,0)="","",OFFSET(選択肢パターン!G$2,$V62,0)))</f>
        <v>1</v>
      </c>
      <c r="AC62" s="94">
        <f ca="1">IF($V62="","",IF(OFFSET(選択肢パターン!H$2,$V62,0)="","",OFFSET(選択肢パターン!H$2,$V62,0)))</f>
        <v>0.75</v>
      </c>
      <c r="AD62" s="94">
        <f ca="1">IF($V62="","",IF(OFFSET(選択肢パターン!I$2,$V62,0)="","",OFFSET(選択肢パターン!I$2,$V62,0)))</f>
        <v>0.25</v>
      </c>
      <c r="AE62" s="14">
        <f ca="1">IF($V62="","",IF(OFFSET(選択肢パターン!J$2,$V62,0)="","",OFFSET(選択肢パターン!J$2,$V62,0)))</f>
        <v>0</v>
      </c>
      <c r="AF62" s="14" t="str">
        <f ca="1">IF($V62="","",IF(OFFSET(選択肢パターン!K$2,$V62,0)="","",OFFSET(選択肢パターン!K$2,$V62,0)))</f>
        <v/>
      </c>
    </row>
    <row r="63" spans="2:32" ht="19.5" thickBot="1">
      <c r="B63" s="265"/>
      <c r="C63" s="256"/>
      <c r="D63" s="40">
        <v>45</v>
      </c>
      <c r="E63" s="507" t="str">
        <f>VLOOKUP($D63,削減率設定!$C$5:$P$74,2,FALSE)</f>
        <v>空調機、ダクトからのエアー漏れの是正</v>
      </c>
      <c r="F63" s="41" t="str">
        <f>VLOOKUP($D63,削減率設定!$C$5:$P$74,3,FALSE)</f>
        <v>定期的な保守､点検</v>
      </c>
      <c r="G63" s="107" t="str">
        <f>IF(対策チェック!AH70="","",対策チェック!AH70)</f>
        <v/>
      </c>
      <c r="I63" s="83" t="str">
        <f t="shared" ca="1" si="2"/>
        <v/>
      </c>
      <c r="J63" s="513">
        <f ca="1">IF(IFERROR(OFFSET(削減率設定!$O$3,MATCH($D63,削減率設定!$C$5:$C$74,0)+1,0),0)=0,"-",OFFSET(削減率設定!$O$3,MATCH($D63,削減率設定!$C$5:$C$74,0)+1,0))</f>
        <v>2E-3</v>
      </c>
      <c r="K63" s="198">
        <f ca="1">IFERROR(VLOOKUP(O63,エネルギーシェア!$B$4:$I$23,MATCH("選択中",エネルギーシェア!$B$2:$I$2,0),FALSE)/100,0)+IFERROR(VLOOKUP(P63,エネルギーシェア!$B$4:$I$23,MATCH("選択中",エネルギーシェア!$B$2:$I$2,0),FALSE)/100,0)</f>
        <v>0.11799999999999999</v>
      </c>
      <c r="L63" s="55" t="str">
        <f t="shared" ca="1" si="3"/>
        <v>-</v>
      </c>
      <c r="M63" s="43" t="str">
        <f t="shared" ca="1" si="4"/>
        <v>-</v>
      </c>
      <c r="N63" s="53" t="s">
        <v>71</v>
      </c>
      <c r="O63" s="32" t="s">
        <v>48</v>
      </c>
      <c r="P63" s="19"/>
      <c r="Q63" s="134" t="str">
        <f t="shared" ca="1" si="10"/>
        <v>-</v>
      </c>
      <c r="R63" t="str">
        <f ca="1">IF(AND(G63&lt;&gt;W63,G63&lt;&gt;AA63,OR(Q63=1,AND(Q63=2,COUNTIF(Q$54:Q$63,1)&lt;3),AND(Q63=3,COUNTIF(Q$54:Q$63,2)&lt;2,COUNTIF(Q$54:Q63,3)&lt;3))),"・"&amp;E63&amp;CHAR(13),"")</f>
        <v/>
      </c>
      <c r="T63" s="4"/>
      <c r="U63" s="4"/>
      <c r="V63">
        <v>2</v>
      </c>
      <c r="W63" s="70" t="str">
        <f ca="1">IF($V63="","",IF(OFFSET(選択肢パターン!B$2,$V63,0)="","",OFFSET(選択肢パターン!B$2,$V63,0)))</f>
        <v>実施済</v>
      </c>
      <c r="X63" s="70" t="str">
        <f ca="1">IF($V63="","",IF(OFFSET(選択肢パターン!C$2,$V63,0)="","",OFFSET(選択肢パターン!C$2,$V63,0)))</f>
        <v>過半で実施済</v>
      </c>
      <c r="Y63" s="70" t="str">
        <f ca="1">IF($V63="","",IF(OFFSET(選択肢パターン!D$2,$V63,0)="","",OFFSET(選択肢パターン!D$2,$V63,0)))</f>
        <v>一部実施済</v>
      </c>
      <c r="Z63" s="4" t="str">
        <f ca="1">IF($V63="","",IF(OFFSET(選択肢パターン!E$2,$V63,0)="","",OFFSET(選択肢パターン!E$2,$V63,0)))</f>
        <v>未実施</v>
      </c>
      <c r="AA63" s="4" t="str">
        <f ca="1">IF($V63="","",IF(OFFSET(選択肢パターン!F$2,$V63,0)="","",OFFSET(選択肢パターン!F$2,$V63,0)))</f>
        <v>該当なし</v>
      </c>
      <c r="AB63" s="94">
        <f ca="1">IF($V63="","",IF(OFFSET(選択肢パターン!G$2,$V63,0)="","",OFFSET(選択肢パターン!G$2,$V63,0)))</f>
        <v>1</v>
      </c>
      <c r="AC63" s="94">
        <f ca="1">IF($V63="","",IF(OFFSET(選択肢パターン!H$2,$V63,0)="","",OFFSET(選択肢パターン!H$2,$V63,0)))</f>
        <v>0.75</v>
      </c>
      <c r="AD63" s="94">
        <f ca="1">IF($V63="","",IF(OFFSET(選択肢パターン!I$2,$V63,0)="","",OFFSET(選択肢パターン!I$2,$V63,0)))</f>
        <v>0.25</v>
      </c>
      <c r="AE63" s="14">
        <f ca="1">IF($V63="","",IF(OFFSET(選択肢パターン!J$2,$V63,0)="","",OFFSET(選択肢パターン!J$2,$V63,0)))</f>
        <v>0</v>
      </c>
      <c r="AF63" s="14" t="str">
        <f ca="1">IF($V63="","",IF(OFFSET(選択肢パターン!K$2,$V63,0)="","",OFFSET(選択肢パターン!K$2,$V63,0)))</f>
        <v/>
      </c>
    </row>
    <row r="64" spans="2:32">
      <c r="B64" s="262"/>
      <c r="C64" s="270" t="s">
        <v>20</v>
      </c>
      <c r="D64" s="45">
        <v>46</v>
      </c>
      <c r="E64" s="508" t="str">
        <f>VLOOKUP($D64,削減率設定!$C$5:$P$74,2,FALSE)</f>
        <v>照度の適正化</v>
      </c>
      <c r="F64" s="46" t="str">
        <f>VLOOKUP($D64,削減率設定!$C$5:$P$74,3,FALSE)</f>
        <v>事務室の照度は500lxを目安に緩和</v>
      </c>
      <c r="G64" s="106" t="str">
        <f>IF(対策チェック!AH71="","",対策チェック!AH71)</f>
        <v/>
      </c>
      <c r="H64" s="312"/>
      <c r="I64" s="84" t="str">
        <f t="shared" ca="1" si="2"/>
        <v/>
      </c>
      <c r="J64" s="511">
        <f ca="1">IF(IFERROR(OFFSET(削減率設定!$O$3,MATCH($D64,削減率設定!$C$5:$C$74,0)+1,0),0)=0,"-",OFFSET(削減率設定!$O$3,MATCH($D64,削減率設定!$C$5:$C$74,0)+1,0))</f>
        <v>0.1125</v>
      </c>
      <c r="K64" s="199">
        <f ca="1">IFERROR(VLOOKUP(O64,エネルギーシェア!$B$4:$I$23,MATCH("選択中",エネルギーシェア!$B$2:$I$2,0),FALSE)/100,0)+IFERROR(VLOOKUP(P64,エネルギーシェア!$B$4:$I$23,MATCH("選択中",エネルギーシェア!$B$2:$I$2,0),FALSE)/100,0)</f>
        <v>0.20200000000000004</v>
      </c>
      <c r="L64" s="56" t="str">
        <f t="shared" ca="1" si="3"/>
        <v>-</v>
      </c>
      <c r="M64" s="47" t="str">
        <f t="shared" ca="1" si="4"/>
        <v>-</v>
      </c>
      <c r="N64" s="48" t="s">
        <v>71</v>
      </c>
      <c r="O64" s="32" t="s">
        <v>50</v>
      </c>
      <c r="P64" s="19"/>
      <c r="Q64" s="134" t="str">
        <f ca="1">IFERROR(RANK(L64,$L$64:$L$73),"-")</f>
        <v>-</v>
      </c>
      <c r="R64" t="str">
        <f ca="1">IF(AND(G64&lt;&gt;W64,G64&lt;&gt;AA64,OR(Q64=1,AND(Q64=2,COUNTIF(Q$64:Q$73,1)&lt;3),AND(Q64=3,COUNTIF(Q$64:Q$73,2)&lt;2,COUNTIF(Q$64:Q64,3)&lt;3))),"・"&amp;E64&amp;CHAR(13),"")</f>
        <v/>
      </c>
      <c r="T64" s="4"/>
      <c r="U64" s="4"/>
      <c r="V64">
        <v>2</v>
      </c>
      <c r="W64" s="70" t="str">
        <f ca="1">IF($V64="","",IF(OFFSET(選択肢パターン!B$2,$V64,0)="","",OFFSET(選択肢パターン!B$2,$V64,0)))</f>
        <v>実施済</v>
      </c>
      <c r="X64" s="70" t="str">
        <f ca="1">IF($V64="","",IF(OFFSET(選択肢パターン!C$2,$V64,0)="","",OFFSET(選択肢パターン!C$2,$V64,0)))</f>
        <v>過半で実施済</v>
      </c>
      <c r="Y64" s="70" t="str">
        <f ca="1">IF($V64="","",IF(OFFSET(選択肢パターン!D$2,$V64,0)="","",OFFSET(選択肢パターン!D$2,$V64,0)))</f>
        <v>一部実施済</v>
      </c>
      <c r="Z64" s="4" t="str">
        <f ca="1">IF($V64="","",IF(OFFSET(選択肢パターン!E$2,$V64,0)="","",OFFSET(選択肢パターン!E$2,$V64,0)))</f>
        <v>未実施</v>
      </c>
      <c r="AA64" s="4" t="str">
        <f ca="1">IF($V64="","",IF(OFFSET(選択肢パターン!F$2,$V64,0)="","",OFFSET(選択肢パターン!F$2,$V64,0)))</f>
        <v>該当なし</v>
      </c>
      <c r="AB64" s="94">
        <f ca="1">IF($V64="","",IF(OFFSET(選択肢パターン!G$2,$V64,0)="","",OFFSET(選択肢パターン!G$2,$V64,0)))</f>
        <v>1</v>
      </c>
      <c r="AC64" s="94">
        <f ca="1">IF($V64="","",IF(OFFSET(選択肢パターン!H$2,$V64,0)="","",OFFSET(選択肢パターン!H$2,$V64,0)))</f>
        <v>0.75</v>
      </c>
      <c r="AD64" s="94">
        <f ca="1">IF($V64="","",IF(OFFSET(選択肢パターン!I$2,$V64,0)="","",OFFSET(選択肢パターン!I$2,$V64,0)))</f>
        <v>0.25</v>
      </c>
      <c r="AE64" s="14">
        <f ca="1">IF($V64="","",IF(OFFSET(選択肢パターン!J$2,$V64,0)="","",OFFSET(選択肢パターン!J$2,$V64,0)))</f>
        <v>0</v>
      </c>
      <c r="AF64" s="14" t="str">
        <f ca="1">IF($V64="","",IF(OFFSET(選択肢パターン!K$2,$V64,0)="","",OFFSET(選択肢パターン!K$2,$V64,0)))</f>
        <v/>
      </c>
    </row>
    <row r="65" spans="2:32">
      <c r="B65" s="263"/>
      <c r="C65" s="255" t="s">
        <v>4</v>
      </c>
      <c r="D65" s="3">
        <v>47</v>
      </c>
      <c r="E65" s="505" t="str">
        <f>VLOOKUP($D65,削減率設定!$C$5:$P$74,2,FALSE)</f>
        <v>空室、不在時等のこまめな消灯</v>
      </c>
      <c r="F65" s="5" t="str">
        <f>VLOOKUP($D65,削減率設定!$C$5:$P$74,3,FALSE)</f>
        <v>消灯ルールの設定､周知､点検</v>
      </c>
      <c r="G65" s="105" t="str">
        <f>IF(対策チェック!AH72="","",対策チェック!AH72)</f>
        <v/>
      </c>
      <c r="I65" s="82" t="str">
        <f t="shared" ca="1" si="2"/>
        <v/>
      </c>
      <c r="J65" s="512">
        <f ca="1">IF(IFERROR(OFFSET(削減率設定!$O$3,MATCH($D65,削減率設定!$C$5:$C$74,0)+1,0),0)=0,"-",OFFSET(削減率設定!$O$3,MATCH($D65,削減率設定!$C$5:$C$74,0)+1,0))</f>
        <v>0.01</v>
      </c>
      <c r="K65" s="197">
        <f ca="1">IFERROR(VLOOKUP(O65,エネルギーシェア!$B$4:$I$23,MATCH("選択中",エネルギーシェア!$B$2:$I$2,0),FALSE)/100,0)+IFERROR(VLOOKUP(P65,エネルギーシェア!$B$4:$I$23,MATCH("選択中",エネルギーシェア!$B$2:$I$2,0),FALSE)/100,0)</f>
        <v>0.20200000000000004</v>
      </c>
      <c r="L65" s="54" t="str">
        <f t="shared" ca="1" si="3"/>
        <v>-</v>
      </c>
      <c r="M65" s="15" t="str">
        <f t="shared" ca="1" si="4"/>
        <v>-</v>
      </c>
      <c r="N65" s="34" t="s">
        <v>71</v>
      </c>
      <c r="O65" s="32" t="s">
        <v>50</v>
      </c>
      <c r="P65" s="32"/>
      <c r="Q65" s="134" t="str">
        <f t="shared" ref="Q65:Q73" ca="1" si="11">IFERROR(RANK(L65,$L$64:$L$73),"-")</f>
        <v>-</v>
      </c>
      <c r="R65" t="str">
        <f ca="1">IF(AND(G65&lt;&gt;W65,G65&lt;&gt;AA65,OR(Q65=1,AND(Q65=2,COUNTIF(Q$64:Q$73,1)&lt;3),AND(Q65=3,COUNTIF(Q$64:Q$73,2)&lt;2,COUNTIF(Q$64:Q65,3)&lt;3))),"・"&amp;E65&amp;CHAR(13),"")</f>
        <v/>
      </c>
      <c r="T65" s="4"/>
      <c r="U65" s="4"/>
      <c r="V65">
        <v>2</v>
      </c>
      <c r="W65" s="70" t="str">
        <f ca="1">IF($V65="","",IF(OFFSET(選択肢パターン!B$2,$V65,0)="","",OFFSET(選択肢パターン!B$2,$V65,0)))</f>
        <v>実施済</v>
      </c>
      <c r="X65" s="70" t="str">
        <f ca="1">IF($V65="","",IF(OFFSET(選択肢パターン!C$2,$V65,0)="","",OFFSET(選択肢パターン!C$2,$V65,0)))</f>
        <v>過半で実施済</v>
      </c>
      <c r="Y65" s="70" t="str">
        <f ca="1">IF($V65="","",IF(OFFSET(選択肢パターン!D$2,$V65,0)="","",OFFSET(選択肢パターン!D$2,$V65,0)))</f>
        <v>一部実施済</v>
      </c>
      <c r="Z65" s="4" t="str">
        <f ca="1">IF($V65="","",IF(OFFSET(選択肢パターン!E$2,$V65,0)="","",OFFSET(選択肢パターン!E$2,$V65,0)))</f>
        <v>未実施</v>
      </c>
      <c r="AA65" s="4" t="str">
        <f ca="1">IF($V65="","",IF(OFFSET(選択肢パターン!F$2,$V65,0)="","",OFFSET(選択肢パターン!F$2,$V65,0)))</f>
        <v>該当なし</v>
      </c>
      <c r="AB65" s="94">
        <f ca="1">IF($V65="","",IF(OFFSET(選択肢パターン!G$2,$V65,0)="","",OFFSET(選択肢パターン!G$2,$V65,0)))</f>
        <v>1</v>
      </c>
      <c r="AC65" s="94">
        <f ca="1">IF($V65="","",IF(OFFSET(選択肢パターン!H$2,$V65,0)="","",OFFSET(選択肢パターン!H$2,$V65,0)))</f>
        <v>0.75</v>
      </c>
      <c r="AD65" s="94">
        <f ca="1">IF($V65="","",IF(OFFSET(選択肢パターン!I$2,$V65,0)="","",OFFSET(選択肢パターン!I$2,$V65,0)))</f>
        <v>0.25</v>
      </c>
      <c r="AE65" s="14">
        <f ca="1">IF($V65="","",IF(OFFSET(選択肢パターン!J$2,$V65,0)="","",OFFSET(選択肢パターン!J$2,$V65,0)))</f>
        <v>0</v>
      </c>
      <c r="AF65" s="14" t="str">
        <f ca="1">IF($V65="","",IF(OFFSET(選択肢パターン!K$2,$V65,0)="","",OFFSET(選択肢パターン!K$2,$V65,0)))</f>
        <v/>
      </c>
    </row>
    <row r="66" spans="2:32">
      <c r="B66" s="263"/>
      <c r="C66" s="256"/>
      <c r="D66" s="3">
        <v>48</v>
      </c>
      <c r="E66" s="505" t="str">
        <f>VLOOKUP($D66,削減率設定!$C$5:$P$74,2,FALSE)</f>
        <v>照明点灯範囲の明確化</v>
      </c>
      <c r="F66" s="5" t="str">
        <f>VLOOKUP($D66,削減率設定!$C$5:$P$74,3,FALSE)</f>
        <v>照明スイッチ付近に点灯範囲図を表示</v>
      </c>
      <c r="G66" s="105" t="str">
        <f>IF(対策チェック!AH73="","",対策チェック!AH73)</f>
        <v/>
      </c>
      <c r="I66" s="82" t="str">
        <f t="shared" ca="1" si="2"/>
        <v/>
      </c>
      <c r="J66" s="512">
        <f ca="1">IF(IFERROR(OFFSET(削減率設定!$O$3,MATCH($D66,削減率設定!$C$5:$C$74,0)+1,0),0)=0,"-",OFFSET(削減率設定!$O$3,MATCH($D66,削減率設定!$C$5:$C$74,0)+1,0))</f>
        <v>0.01</v>
      </c>
      <c r="K66" s="197">
        <f ca="1">IFERROR(VLOOKUP(O66,エネルギーシェア!$B$4:$I$23,MATCH("選択中",エネルギーシェア!$B$2:$I$2,0),FALSE)/100,0)+IFERROR(VLOOKUP(P66,エネルギーシェア!$B$4:$I$23,MATCH("選択中",エネルギーシェア!$B$2:$I$2,0),FALSE)/100,0)</f>
        <v>0.20200000000000004</v>
      </c>
      <c r="L66" s="54" t="str">
        <f t="shared" ca="1" si="3"/>
        <v>-</v>
      </c>
      <c r="M66" s="15" t="str">
        <f t="shared" ca="1" si="4"/>
        <v>-</v>
      </c>
      <c r="N66" s="34" t="s">
        <v>71</v>
      </c>
      <c r="O66" s="32" t="s">
        <v>50</v>
      </c>
      <c r="P66" s="19"/>
      <c r="Q66" s="134" t="str">
        <f t="shared" ca="1" si="11"/>
        <v>-</v>
      </c>
      <c r="R66" t="str">
        <f ca="1">IF(AND(G66&lt;&gt;W66,G66&lt;&gt;AA66,OR(Q66=1,AND(Q66=2,COUNTIF(Q$64:Q$73,1)&lt;3),AND(Q66=3,COUNTIF(Q$64:Q$73,2)&lt;2,COUNTIF(Q$64:Q66,3)&lt;3))),"・"&amp;E66&amp;CHAR(13),"")</f>
        <v/>
      </c>
      <c r="T66" s="4"/>
      <c r="U66" s="4"/>
      <c r="V66">
        <v>2</v>
      </c>
      <c r="W66" s="70" t="str">
        <f ca="1">IF($V66="","",IF(OFFSET(選択肢パターン!B$2,$V66,0)="","",OFFSET(選択肢パターン!B$2,$V66,0)))</f>
        <v>実施済</v>
      </c>
      <c r="X66" s="70" t="str">
        <f ca="1">IF($V66="","",IF(OFFSET(選択肢パターン!C$2,$V66,0)="","",OFFSET(選択肢パターン!C$2,$V66,0)))</f>
        <v>過半で実施済</v>
      </c>
      <c r="Y66" s="70" t="str">
        <f ca="1">IF($V66="","",IF(OFFSET(選択肢パターン!D$2,$V66,0)="","",OFFSET(選択肢パターン!D$2,$V66,0)))</f>
        <v>一部実施済</v>
      </c>
      <c r="Z66" s="4" t="str">
        <f ca="1">IF($V66="","",IF(OFFSET(選択肢パターン!E$2,$V66,0)="","",OFFSET(選択肢パターン!E$2,$V66,0)))</f>
        <v>未実施</v>
      </c>
      <c r="AA66" s="4" t="str">
        <f ca="1">IF($V66="","",IF(OFFSET(選択肢パターン!F$2,$V66,0)="","",OFFSET(選択肢パターン!F$2,$V66,0)))</f>
        <v>該当なし</v>
      </c>
      <c r="AB66" s="94">
        <f ca="1">IF($V66="","",IF(OFFSET(選択肢パターン!G$2,$V66,0)="","",OFFSET(選択肢パターン!G$2,$V66,0)))</f>
        <v>1</v>
      </c>
      <c r="AC66" s="94">
        <f ca="1">IF($V66="","",IF(OFFSET(選択肢パターン!H$2,$V66,0)="","",OFFSET(選択肢パターン!H$2,$V66,0)))</f>
        <v>0.75</v>
      </c>
      <c r="AD66" s="94">
        <f ca="1">IF($V66="","",IF(OFFSET(選択肢パターン!I$2,$V66,0)="","",OFFSET(選択肢パターン!I$2,$V66,0)))</f>
        <v>0.25</v>
      </c>
      <c r="AE66" s="14">
        <f ca="1">IF($V66="","",IF(OFFSET(選択肢パターン!J$2,$V66,0)="","",OFFSET(選択肢パターン!J$2,$V66,0)))</f>
        <v>0</v>
      </c>
      <c r="AF66" s="14" t="str">
        <f ca="1">IF($V66="","",IF(OFFSET(選択肢パターン!K$2,$V66,0)="","",OFFSET(選択肢パターン!K$2,$V66,0)))</f>
        <v/>
      </c>
    </row>
    <row r="67" spans="2:32">
      <c r="B67" s="263"/>
      <c r="C67" s="256"/>
      <c r="D67" s="3">
        <v>49</v>
      </c>
      <c r="E67" s="505" t="str">
        <f>VLOOKUP($D67,削減率設定!$C$5:$P$74,2,FALSE)</f>
        <v>採光を利用した消灯の実施</v>
      </c>
      <c r="F67" s="5" t="str">
        <f>VLOOKUP($D67,削減率設定!$C$5:$P$74,3,FALSE)</f>
        <v>日中消灯のルールの設定､周知､点検</v>
      </c>
      <c r="G67" s="105" t="str">
        <f>IF(対策チェック!AH74="","",対策チェック!AH74)</f>
        <v/>
      </c>
      <c r="I67" s="82" t="str">
        <f t="shared" ca="1" si="2"/>
        <v/>
      </c>
      <c r="J67" s="512">
        <f ca="1">IF(IFERROR(OFFSET(削減率設定!$O$3,MATCH($D67,削減率設定!$C$5:$C$74,0)+1,0),0)=0,"-",OFFSET(削減率設定!$O$3,MATCH($D67,削減率設定!$C$5:$C$74,0)+1,0))</f>
        <v>0.01</v>
      </c>
      <c r="K67" s="197">
        <f ca="1">IFERROR(VLOOKUP(O67,エネルギーシェア!$B$4:$I$23,MATCH("選択中",エネルギーシェア!$B$2:$I$2,0),FALSE)/100,0)+IFERROR(VLOOKUP(P67,エネルギーシェア!$B$4:$I$23,MATCH("選択中",エネルギーシェア!$B$2:$I$2,0),FALSE)/100,0)</f>
        <v>0.20200000000000004</v>
      </c>
      <c r="L67" s="54" t="str">
        <f t="shared" ca="1" si="3"/>
        <v>-</v>
      </c>
      <c r="M67" s="15" t="str">
        <f t="shared" ca="1" si="4"/>
        <v>-</v>
      </c>
      <c r="N67" s="34" t="s">
        <v>71</v>
      </c>
      <c r="O67" s="32" t="s">
        <v>50</v>
      </c>
      <c r="P67" s="19"/>
      <c r="Q67" s="134" t="str">
        <f t="shared" ca="1" si="11"/>
        <v>-</v>
      </c>
      <c r="R67" t="str">
        <f ca="1">IF(AND(G67&lt;&gt;W67,G67&lt;&gt;AA67,OR(Q67=1,AND(Q67=2,COUNTIF(Q$64:Q$73,1)&lt;3),AND(Q67=3,COUNTIF(Q$64:Q$73,2)&lt;2,COUNTIF(Q$64:Q67,3)&lt;3))),"・"&amp;E67&amp;CHAR(13),"")</f>
        <v/>
      </c>
      <c r="T67" s="4"/>
      <c r="U67" s="4"/>
      <c r="V67">
        <v>2</v>
      </c>
      <c r="W67" s="70" t="str">
        <f ca="1">IF($V67="","",IF(OFFSET(選択肢パターン!B$2,$V67,0)="","",OFFSET(選択肢パターン!B$2,$V67,0)))</f>
        <v>実施済</v>
      </c>
      <c r="X67" s="70" t="str">
        <f ca="1">IF($V67="","",IF(OFFSET(選択肢パターン!C$2,$V67,0)="","",OFFSET(選択肢パターン!C$2,$V67,0)))</f>
        <v>過半で実施済</v>
      </c>
      <c r="Y67" s="70" t="str">
        <f ca="1">IF($V67="","",IF(OFFSET(選択肢パターン!D$2,$V67,0)="","",OFFSET(選択肢パターン!D$2,$V67,0)))</f>
        <v>一部実施済</v>
      </c>
      <c r="Z67" s="4" t="str">
        <f ca="1">IF($V67="","",IF(OFFSET(選択肢パターン!E$2,$V67,0)="","",OFFSET(選択肢パターン!E$2,$V67,0)))</f>
        <v>未実施</v>
      </c>
      <c r="AA67" s="4" t="str">
        <f ca="1">IF($V67="","",IF(OFFSET(選択肢パターン!F$2,$V67,0)="","",OFFSET(選択肢パターン!F$2,$V67,0)))</f>
        <v>該当なし</v>
      </c>
      <c r="AB67" s="94">
        <f ca="1">IF($V67="","",IF(OFFSET(選択肢パターン!G$2,$V67,0)="","",OFFSET(選択肢パターン!G$2,$V67,0)))</f>
        <v>1</v>
      </c>
      <c r="AC67" s="94">
        <f ca="1">IF($V67="","",IF(OFFSET(選択肢パターン!H$2,$V67,0)="","",OFFSET(選択肢パターン!H$2,$V67,0)))</f>
        <v>0.75</v>
      </c>
      <c r="AD67" s="94">
        <f ca="1">IF($V67="","",IF(OFFSET(選択肢パターン!I$2,$V67,0)="","",OFFSET(選択肢パターン!I$2,$V67,0)))</f>
        <v>0.25</v>
      </c>
      <c r="AE67" s="14">
        <f ca="1">IF($V67="","",IF(OFFSET(選択肢パターン!J$2,$V67,0)="","",OFFSET(選択肢パターン!J$2,$V67,0)))</f>
        <v>0</v>
      </c>
      <c r="AF67" s="14" t="str">
        <f ca="1">IF($V67="","",IF(OFFSET(選択肢パターン!K$2,$V67,0)="","",OFFSET(選択肢パターン!K$2,$V67,0)))</f>
        <v/>
      </c>
    </row>
    <row r="68" spans="2:32" ht="31.5">
      <c r="B68" s="263"/>
      <c r="C68" s="256"/>
      <c r="D68" s="3">
        <v>50</v>
      </c>
      <c r="E68" s="505" t="str">
        <f>VLOOKUP($D68,削減率設定!$C$5:$P$74,2,FALSE)</f>
        <v>始業時間前の点灯範囲の制限</v>
      </c>
      <c r="F68" s="5" t="str">
        <f>VLOOKUP($D68,削減率設定!$C$5:$P$74,3,FALSE)</f>
        <v>始業時間前の点灯時間､範囲等に関するルールの設定､周知､点検</v>
      </c>
      <c r="G68" s="105" t="str">
        <f>IF(対策チェック!AH75="","",対策チェック!AH75)</f>
        <v/>
      </c>
      <c r="I68" s="82" t="str">
        <f t="shared" ca="1" si="2"/>
        <v/>
      </c>
      <c r="J68" s="512">
        <f ca="1">IF(IFERROR(OFFSET(削減率設定!$O$3,MATCH($D68,削減率設定!$C$5:$C$74,0)+1,0),0)=0,"-",OFFSET(削減率設定!$O$3,MATCH($D68,削減率設定!$C$5:$C$74,0)+1,0))</f>
        <v>0.01</v>
      </c>
      <c r="K68" s="197">
        <f ca="1">IFERROR(VLOOKUP(O68,エネルギーシェア!$B$4:$I$23,MATCH("選択中",エネルギーシェア!$B$2:$I$2,0),FALSE)/100,0)+IFERROR(VLOOKUP(P68,エネルギーシェア!$B$4:$I$23,MATCH("選択中",エネルギーシェア!$B$2:$I$2,0),FALSE)/100,0)</f>
        <v>0.20200000000000004</v>
      </c>
      <c r="L68" s="54" t="str">
        <f t="shared" ca="1" si="3"/>
        <v>-</v>
      </c>
      <c r="M68" s="15" t="str">
        <f t="shared" ca="1" si="4"/>
        <v>-</v>
      </c>
      <c r="N68" s="34" t="s">
        <v>71</v>
      </c>
      <c r="O68" s="32" t="s">
        <v>50</v>
      </c>
      <c r="P68" s="19"/>
      <c r="Q68" s="134" t="str">
        <f t="shared" ca="1" si="11"/>
        <v>-</v>
      </c>
      <c r="R68" t="str">
        <f ca="1">IF(AND(G68&lt;&gt;W68,G68&lt;&gt;AA68,OR(Q68=1,AND(Q68=2,COUNTIF(Q$64:Q$73,1)&lt;3),AND(Q68=3,COUNTIF(Q$64:Q$73,2)&lt;2,COUNTIF(Q$64:Q68,3)&lt;3))),"・"&amp;E68&amp;CHAR(13),"")</f>
        <v/>
      </c>
      <c r="T68" s="4"/>
      <c r="U68" s="4"/>
      <c r="V68">
        <v>2</v>
      </c>
      <c r="W68" s="70" t="str">
        <f ca="1">IF($V68="","",IF(OFFSET(選択肢パターン!B$2,$V68,0)="","",OFFSET(選択肢パターン!B$2,$V68,0)))</f>
        <v>実施済</v>
      </c>
      <c r="X68" s="70" t="str">
        <f ca="1">IF($V68="","",IF(OFFSET(選択肢パターン!C$2,$V68,0)="","",OFFSET(選択肢パターン!C$2,$V68,0)))</f>
        <v>過半で実施済</v>
      </c>
      <c r="Y68" s="70" t="str">
        <f ca="1">IF($V68="","",IF(OFFSET(選択肢パターン!D$2,$V68,0)="","",OFFSET(選択肢パターン!D$2,$V68,0)))</f>
        <v>一部実施済</v>
      </c>
      <c r="Z68" s="4" t="str">
        <f ca="1">IF($V68="","",IF(OFFSET(選択肢パターン!E$2,$V68,0)="","",OFFSET(選択肢パターン!E$2,$V68,0)))</f>
        <v>未実施</v>
      </c>
      <c r="AA68" s="4" t="str">
        <f ca="1">IF($V68="","",IF(OFFSET(選択肢パターン!F$2,$V68,0)="","",OFFSET(選択肢パターン!F$2,$V68,0)))</f>
        <v>該当なし</v>
      </c>
      <c r="AB68" s="94">
        <f ca="1">IF($V68="","",IF(OFFSET(選択肢パターン!G$2,$V68,0)="","",OFFSET(選択肢パターン!G$2,$V68,0)))</f>
        <v>1</v>
      </c>
      <c r="AC68" s="94">
        <f ca="1">IF($V68="","",IF(OFFSET(選択肢パターン!H$2,$V68,0)="","",OFFSET(選択肢パターン!H$2,$V68,0)))</f>
        <v>0.75</v>
      </c>
      <c r="AD68" s="94">
        <f ca="1">IF($V68="","",IF(OFFSET(選択肢パターン!I$2,$V68,0)="","",OFFSET(選択肢パターン!I$2,$V68,0)))</f>
        <v>0.25</v>
      </c>
      <c r="AE68" s="14">
        <f ca="1">IF($V68="","",IF(OFFSET(選択肢パターン!J$2,$V68,0)="","",OFFSET(選択肢パターン!J$2,$V68,0)))</f>
        <v>0</v>
      </c>
      <c r="AF68" s="14" t="str">
        <f ca="1">IF($V68="","",IF(OFFSET(選択肢パターン!K$2,$V68,0)="","",OFFSET(選択肢パターン!K$2,$V68,0)))</f>
        <v/>
      </c>
    </row>
    <row r="69" spans="2:32" ht="31.5">
      <c r="B69" s="264" t="s">
        <v>345</v>
      </c>
      <c r="C69" s="266">
        <f ca="1">SUM(L64:L73)</f>
        <v>0</v>
      </c>
      <c r="D69" s="3">
        <v>51</v>
      </c>
      <c r="E69" s="505" t="str">
        <f>VLOOKUP($D69,削減率設定!$C$5:$P$74,2,FALSE)</f>
        <v>昼休みの一斉消灯</v>
      </c>
      <c r="F69" s="5" t="str">
        <f>VLOOKUP($D69,削減率設定!$C$5:$P$74,3,FALSE)</f>
        <v>消灯ルールの設定､周知､点検（必要なエリアのみ再点灯）</v>
      </c>
      <c r="G69" s="105" t="str">
        <f>IF(対策チェック!AH76="","",対策チェック!AH76)</f>
        <v/>
      </c>
      <c r="I69" s="82" t="str">
        <f t="shared" ca="1" si="2"/>
        <v/>
      </c>
      <c r="J69" s="512">
        <f ca="1">IF(IFERROR(OFFSET(削減率設定!$O$3,MATCH($D69,削減率設定!$C$5:$C$74,0)+1,0),0)=0,"-",OFFSET(削減率設定!$O$3,MATCH($D69,削減率設定!$C$5:$C$74,0)+1,0))</f>
        <v>0.01</v>
      </c>
      <c r="K69" s="197">
        <f ca="1">IFERROR(VLOOKUP(O69,エネルギーシェア!$B$4:$I$23,MATCH("選択中",エネルギーシェア!$B$2:$I$2,0),FALSE)/100,0)+IFERROR(VLOOKUP(P69,エネルギーシェア!$B$4:$I$23,MATCH("選択中",エネルギーシェア!$B$2:$I$2,0),FALSE)/100,0)</f>
        <v>0.20200000000000004</v>
      </c>
      <c r="L69" s="54" t="str">
        <f t="shared" ca="1" si="3"/>
        <v>-</v>
      </c>
      <c r="M69" s="15" t="str">
        <f t="shared" ca="1" si="4"/>
        <v>-</v>
      </c>
      <c r="N69" s="34" t="s">
        <v>71</v>
      </c>
      <c r="O69" s="32" t="s">
        <v>50</v>
      </c>
      <c r="P69" s="19"/>
      <c r="Q69" s="134" t="str">
        <f t="shared" ca="1" si="11"/>
        <v>-</v>
      </c>
      <c r="R69" t="str">
        <f ca="1">IF(AND(G69&lt;&gt;W69,G69&lt;&gt;AA69,OR(Q69=1,AND(Q69=2,COUNTIF(Q$64:Q$73,1)&lt;3),AND(Q69=3,COUNTIF(Q$64:Q$73,2)&lt;2,COUNTIF(Q$64:Q69,3)&lt;3))),"・"&amp;E69&amp;CHAR(13),"")</f>
        <v/>
      </c>
      <c r="T69" s="4"/>
      <c r="U69" s="4"/>
      <c r="V69">
        <v>2</v>
      </c>
      <c r="W69" s="70" t="str">
        <f ca="1">IF($V69="","",IF(OFFSET(選択肢パターン!B$2,$V69,0)="","",OFFSET(選択肢パターン!B$2,$V69,0)))</f>
        <v>実施済</v>
      </c>
      <c r="X69" s="70" t="str">
        <f ca="1">IF($V69="","",IF(OFFSET(選択肢パターン!C$2,$V69,0)="","",OFFSET(選択肢パターン!C$2,$V69,0)))</f>
        <v>過半で実施済</v>
      </c>
      <c r="Y69" s="70" t="str">
        <f ca="1">IF($V69="","",IF(OFFSET(選択肢パターン!D$2,$V69,0)="","",OFFSET(選択肢パターン!D$2,$V69,0)))</f>
        <v>一部実施済</v>
      </c>
      <c r="Z69" s="4" t="str">
        <f ca="1">IF($V69="","",IF(OFFSET(選択肢パターン!E$2,$V69,0)="","",OFFSET(選択肢パターン!E$2,$V69,0)))</f>
        <v>未実施</v>
      </c>
      <c r="AA69" s="4" t="str">
        <f ca="1">IF($V69="","",IF(OFFSET(選択肢パターン!F$2,$V69,0)="","",OFFSET(選択肢パターン!F$2,$V69,0)))</f>
        <v>該当なし</v>
      </c>
      <c r="AB69" s="94">
        <f ca="1">IF($V69="","",IF(OFFSET(選択肢パターン!G$2,$V69,0)="","",OFFSET(選択肢パターン!G$2,$V69,0)))</f>
        <v>1</v>
      </c>
      <c r="AC69" s="94">
        <f ca="1">IF($V69="","",IF(OFFSET(選択肢パターン!H$2,$V69,0)="","",OFFSET(選択肢パターン!H$2,$V69,0)))</f>
        <v>0.75</v>
      </c>
      <c r="AD69" s="94">
        <f ca="1">IF($V69="","",IF(OFFSET(選択肢パターン!I$2,$V69,0)="","",OFFSET(選択肢パターン!I$2,$V69,0)))</f>
        <v>0.25</v>
      </c>
      <c r="AE69" s="14">
        <f ca="1">IF($V69="","",IF(OFFSET(選択肢パターン!J$2,$V69,0)="","",OFFSET(選択肢パターン!J$2,$V69,0)))</f>
        <v>0</v>
      </c>
      <c r="AF69" s="14" t="str">
        <f ca="1">IF($V69="","",IF(OFFSET(選択肢パターン!K$2,$V69,0)="","",OFFSET(選択肢パターン!K$2,$V69,0)))</f>
        <v/>
      </c>
    </row>
    <row r="70" spans="2:32" ht="37.5">
      <c r="B70" s="254" t="s">
        <v>349</v>
      </c>
      <c r="C70" s="267">
        <f ca="1">SUM(M64:M73)</f>
        <v>0</v>
      </c>
      <c r="D70" s="3">
        <v>52</v>
      </c>
      <c r="E70" s="505" t="str">
        <f>VLOOKUP($D70,削減率設定!$C$5:$P$74,2,FALSE)</f>
        <v>終業時間以降の一斉消灯</v>
      </c>
      <c r="F70" s="5" t="str">
        <f>VLOOKUP($D70,削減率設定!$C$5:$P$74,3,FALSE)</f>
        <v>消灯ルールの設定､周知､点検（必要なエリアのみ再点灯）</v>
      </c>
      <c r="G70" s="105" t="str">
        <f>IF(対策チェック!AH77="","",対策チェック!AH77)</f>
        <v/>
      </c>
      <c r="I70" s="82" t="str">
        <f t="shared" ca="1" si="2"/>
        <v/>
      </c>
      <c r="J70" s="512">
        <f ca="1">IF(IFERROR(OFFSET(削減率設定!$O$3,MATCH($D70,削減率設定!$C$5:$C$74,0)+1,0),0)=0,"-",OFFSET(削減率設定!$O$3,MATCH($D70,削減率設定!$C$5:$C$74,0)+1,0))</f>
        <v>0.01</v>
      </c>
      <c r="K70" s="197">
        <f ca="1">IFERROR(VLOOKUP(O70,エネルギーシェア!$B$4:$I$23,MATCH("選択中",エネルギーシェア!$B$2:$I$2,0),FALSE)/100,0)+IFERROR(VLOOKUP(P70,エネルギーシェア!$B$4:$I$23,MATCH("選択中",エネルギーシェア!$B$2:$I$2,0),FALSE)/100,0)</f>
        <v>0.20200000000000004</v>
      </c>
      <c r="L70" s="54" t="str">
        <f t="shared" ca="1" si="3"/>
        <v>-</v>
      </c>
      <c r="M70" s="15" t="str">
        <f t="shared" ca="1" si="4"/>
        <v>-</v>
      </c>
      <c r="N70" s="34" t="s">
        <v>71</v>
      </c>
      <c r="O70" s="32" t="s">
        <v>50</v>
      </c>
      <c r="P70" s="19"/>
      <c r="Q70" s="134" t="str">
        <f t="shared" ca="1" si="11"/>
        <v>-</v>
      </c>
      <c r="R70" t="str">
        <f ca="1">IF(AND(G70&lt;&gt;W70,G70&lt;&gt;AA70,OR(Q70=1,AND(Q70=2,COUNTIF(Q$64:Q$73,1)&lt;3),AND(Q70=3,COUNTIF(Q$64:Q$73,2)&lt;2,COUNTIF(Q$64:Q70,3)&lt;3))),"・"&amp;E70&amp;CHAR(13),"")</f>
        <v/>
      </c>
      <c r="T70" s="4"/>
      <c r="U70" s="4"/>
      <c r="V70">
        <v>2</v>
      </c>
      <c r="W70" s="70" t="str">
        <f ca="1">IF($V70="","",IF(OFFSET(選択肢パターン!B$2,$V70,0)="","",OFFSET(選択肢パターン!B$2,$V70,0)))</f>
        <v>実施済</v>
      </c>
      <c r="X70" s="70" t="str">
        <f ca="1">IF($V70="","",IF(OFFSET(選択肢パターン!C$2,$V70,0)="","",OFFSET(選択肢パターン!C$2,$V70,0)))</f>
        <v>過半で実施済</v>
      </c>
      <c r="Y70" s="70" t="str">
        <f ca="1">IF($V70="","",IF(OFFSET(選択肢パターン!D$2,$V70,0)="","",OFFSET(選択肢パターン!D$2,$V70,0)))</f>
        <v>一部実施済</v>
      </c>
      <c r="Z70" s="4" t="str">
        <f ca="1">IF($V70="","",IF(OFFSET(選択肢パターン!E$2,$V70,0)="","",OFFSET(選択肢パターン!E$2,$V70,0)))</f>
        <v>未実施</v>
      </c>
      <c r="AA70" s="4" t="str">
        <f ca="1">IF($V70="","",IF(OFFSET(選択肢パターン!F$2,$V70,0)="","",OFFSET(選択肢パターン!F$2,$V70,0)))</f>
        <v>該当なし</v>
      </c>
      <c r="AB70" s="94">
        <f ca="1">IF($V70="","",IF(OFFSET(選択肢パターン!G$2,$V70,0)="","",OFFSET(選択肢パターン!G$2,$V70,0)))</f>
        <v>1</v>
      </c>
      <c r="AC70" s="94">
        <f ca="1">IF($V70="","",IF(OFFSET(選択肢パターン!H$2,$V70,0)="","",OFFSET(選択肢パターン!H$2,$V70,0)))</f>
        <v>0.75</v>
      </c>
      <c r="AD70" s="94">
        <f ca="1">IF($V70="","",IF(OFFSET(選択肢パターン!I$2,$V70,0)="","",OFFSET(選択肢パターン!I$2,$V70,0)))</f>
        <v>0.25</v>
      </c>
      <c r="AE70" s="14">
        <f ca="1">IF($V70="","",IF(OFFSET(選択肢パターン!J$2,$V70,0)="","",OFFSET(選択肢パターン!J$2,$V70,0)))</f>
        <v>0</v>
      </c>
      <c r="AF70" s="14" t="str">
        <f ca="1">IF($V70="","",IF(OFFSET(選択肢パターン!K$2,$V70,0)="","",OFFSET(選択肢パターン!K$2,$V70,0)))</f>
        <v/>
      </c>
    </row>
    <row r="71" spans="2:32" ht="37.5">
      <c r="B71" s="254" t="s">
        <v>350</v>
      </c>
      <c r="C71" s="268">
        <f ca="1">10*SUM(I64:I73)/(10-COUNTIF(G64:G73,"該当なし"))</f>
        <v>0</v>
      </c>
      <c r="D71" s="3">
        <v>53</v>
      </c>
      <c r="E71" s="505" t="str">
        <f>VLOOKUP($D71,削減率設定!$C$5:$P$74,2,FALSE)</f>
        <v>照明器具の清掃</v>
      </c>
      <c r="F71" s="5" t="str">
        <f>VLOOKUP($D71,削減率設定!$C$5:$P$74,3,FALSE)</f>
        <v>年1～2回清掃</v>
      </c>
      <c r="G71" s="105" t="str">
        <f>IF(対策チェック!AH78="","",対策チェック!AH78)</f>
        <v/>
      </c>
      <c r="I71" s="82" t="str">
        <f t="shared" ca="1" si="2"/>
        <v/>
      </c>
      <c r="J71" s="512">
        <f ca="1">IF(IFERROR(OFFSET(削減率設定!$O$3,MATCH($D71,削減率設定!$C$5:$C$74,0)+1,0),0)=0,"-",OFFSET(削減率設定!$O$3,MATCH($D71,削減率設定!$C$5:$C$74,0)+1,0))</f>
        <v>4.0000000000000001E-3</v>
      </c>
      <c r="K71" s="197">
        <f ca="1">IFERROR(VLOOKUP(O71,エネルギーシェア!$B$4:$I$23,MATCH("選択中",エネルギーシェア!$B$2:$I$2,0),FALSE)/100,0)+IFERROR(VLOOKUP(P71,エネルギーシェア!$B$4:$I$23,MATCH("選択中",エネルギーシェア!$B$2:$I$2,0),FALSE)/100,0)</f>
        <v>0.20200000000000004</v>
      </c>
      <c r="L71" s="54" t="str">
        <f t="shared" ca="1" si="3"/>
        <v>-</v>
      </c>
      <c r="M71" s="15" t="str">
        <f t="shared" ca="1" si="4"/>
        <v>-</v>
      </c>
      <c r="N71" s="34" t="s">
        <v>71</v>
      </c>
      <c r="O71" s="32" t="s">
        <v>50</v>
      </c>
      <c r="P71" s="19"/>
      <c r="Q71" s="134" t="str">
        <f t="shared" ca="1" si="11"/>
        <v>-</v>
      </c>
      <c r="R71" t="str">
        <f ca="1">IF(AND(G71&lt;&gt;W71,G71&lt;&gt;AA71,OR(Q71=1,AND(Q71=2,COUNTIF(Q$64:Q$73,1)&lt;3),AND(Q71=3,COUNTIF(Q$64:Q$73,2)&lt;2,COUNTIF(Q$64:Q71,3)&lt;3))),"・"&amp;E71&amp;CHAR(13),"")</f>
        <v/>
      </c>
      <c r="T71" s="4"/>
      <c r="U71" s="4"/>
      <c r="V71">
        <v>2</v>
      </c>
      <c r="W71" s="70" t="str">
        <f ca="1">IF($V71="","",IF(OFFSET(選択肢パターン!B$2,$V71,0)="","",OFFSET(選択肢パターン!B$2,$V71,0)))</f>
        <v>実施済</v>
      </c>
      <c r="X71" s="70" t="str">
        <f ca="1">IF($V71="","",IF(OFFSET(選択肢パターン!C$2,$V71,0)="","",OFFSET(選択肢パターン!C$2,$V71,0)))</f>
        <v>過半で実施済</v>
      </c>
      <c r="Y71" s="70" t="str">
        <f ca="1">IF($V71="","",IF(OFFSET(選択肢パターン!D$2,$V71,0)="","",OFFSET(選択肢パターン!D$2,$V71,0)))</f>
        <v>一部実施済</v>
      </c>
      <c r="Z71" s="4" t="str">
        <f ca="1">IF($V71="","",IF(OFFSET(選択肢パターン!E$2,$V71,0)="","",OFFSET(選択肢パターン!E$2,$V71,0)))</f>
        <v>未実施</v>
      </c>
      <c r="AA71" s="4" t="str">
        <f ca="1">IF($V71="","",IF(OFFSET(選択肢パターン!F$2,$V71,0)="","",OFFSET(選択肢パターン!F$2,$V71,0)))</f>
        <v>該当なし</v>
      </c>
      <c r="AB71" s="94">
        <f ca="1">IF($V71="","",IF(OFFSET(選択肢パターン!G$2,$V71,0)="","",OFFSET(選択肢パターン!G$2,$V71,0)))</f>
        <v>1</v>
      </c>
      <c r="AC71" s="94">
        <f ca="1">IF($V71="","",IF(OFFSET(選択肢パターン!H$2,$V71,0)="","",OFFSET(選択肢パターン!H$2,$V71,0)))</f>
        <v>0.75</v>
      </c>
      <c r="AD71" s="94">
        <f ca="1">IF($V71="","",IF(OFFSET(選択肢パターン!I$2,$V71,0)="","",OFFSET(選択肢パターン!I$2,$V71,0)))</f>
        <v>0.25</v>
      </c>
      <c r="AE71" s="14">
        <f ca="1">IF($V71="","",IF(OFFSET(選択肢パターン!J$2,$V71,0)="","",OFFSET(選択肢パターン!J$2,$V71,0)))</f>
        <v>0</v>
      </c>
      <c r="AF71" s="14" t="str">
        <f ca="1">IF($V71="","",IF(OFFSET(選択肢パターン!K$2,$V71,0)="","",OFFSET(選択肢パターン!K$2,$V71,0)))</f>
        <v/>
      </c>
    </row>
    <row r="72" spans="2:32" ht="31.5">
      <c r="B72" s="1" t="s">
        <v>577</v>
      </c>
      <c r="C72" s="260" t="e">
        <f ca="1">$F$9*C70</f>
        <v>#N/A</v>
      </c>
      <c r="D72" s="40">
        <v>54</v>
      </c>
      <c r="E72" s="506" t="str">
        <f>VLOOKUP($D72,削減率設定!$C$5:$P$74,2,FALSE)</f>
        <v>ランプの定期交換時にLEDに更新</v>
      </c>
      <c r="F72" s="5" t="str">
        <f>VLOOKUP($D72,削減率設定!$C$5:$P$74,3,FALSE)</f>
        <v>・明るさが低下する4～5年でランプ交換
・白熱球はLEDに交換</v>
      </c>
      <c r="G72" s="105" t="str">
        <f>IF(対策チェック!AH79="","",対策チェック!AH79)</f>
        <v/>
      </c>
      <c r="I72" s="82" t="str">
        <f t="shared" ca="1" si="2"/>
        <v/>
      </c>
      <c r="J72" s="512">
        <f ca="1">IF(IFERROR(OFFSET(削減率設定!$O$3,MATCH($D72,削減率設定!$C$5:$C$74,0)+1,0),0)=0,"-",OFFSET(削減率設定!$O$3,MATCH($D72,削減率設定!$C$5:$C$74,0)+1,0))</f>
        <v>4.0000000000000001E-3</v>
      </c>
      <c r="K72" s="197">
        <f ca="1">IFERROR(VLOOKUP(O72,エネルギーシェア!$B$4:$I$23,MATCH("選択中",エネルギーシェア!$B$2:$I$2,0),FALSE)/100,0)+IFERROR(VLOOKUP(P72,エネルギーシェア!$B$4:$I$23,MATCH("選択中",エネルギーシェア!$B$2:$I$2,0),FALSE)/100,0)</f>
        <v>0.20200000000000004</v>
      </c>
      <c r="L72" s="54" t="str">
        <f t="shared" ca="1" si="3"/>
        <v>-</v>
      </c>
      <c r="M72" s="15" t="str">
        <f t="shared" ca="1" si="4"/>
        <v>-</v>
      </c>
      <c r="N72" s="34" t="s">
        <v>71</v>
      </c>
      <c r="O72" s="32" t="s">
        <v>50</v>
      </c>
      <c r="P72" s="19"/>
      <c r="Q72" s="134" t="str">
        <f t="shared" ca="1" si="11"/>
        <v>-</v>
      </c>
      <c r="R72" t="str">
        <f ca="1">IF(AND(G72&lt;&gt;W72,G72&lt;&gt;AA72,OR(Q72=1,AND(Q72=2,COUNTIF(Q$64:Q$73,1)&lt;3),AND(Q72=3,COUNTIF(Q$64:Q$73,2)&lt;2,COUNTIF(Q$64:Q72,3)&lt;3))),"・"&amp;E72&amp;CHAR(13),"")</f>
        <v/>
      </c>
      <c r="T72" s="4"/>
      <c r="U72" s="4"/>
      <c r="V72">
        <v>2</v>
      </c>
      <c r="W72" s="70" t="str">
        <f ca="1">IF($V72="","",IF(OFFSET(選択肢パターン!B$2,$V72,0)="","",OFFSET(選択肢パターン!B$2,$V72,0)))</f>
        <v>実施済</v>
      </c>
      <c r="X72" s="70" t="str">
        <f ca="1">IF($V72="","",IF(OFFSET(選択肢パターン!C$2,$V72,0)="","",OFFSET(選択肢パターン!C$2,$V72,0)))</f>
        <v>過半で実施済</v>
      </c>
      <c r="Y72" s="70" t="str">
        <f ca="1">IF($V72="","",IF(OFFSET(選択肢パターン!D$2,$V72,0)="","",OFFSET(選択肢パターン!D$2,$V72,0)))</f>
        <v>一部実施済</v>
      </c>
      <c r="Z72" s="4" t="str">
        <f ca="1">IF($V72="","",IF(OFFSET(選択肢パターン!E$2,$V72,0)="","",OFFSET(選択肢パターン!E$2,$V72,0)))</f>
        <v>未実施</v>
      </c>
      <c r="AA72" s="4" t="str">
        <f ca="1">IF($V72="","",IF(OFFSET(選択肢パターン!F$2,$V72,0)="","",OFFSET(選択肢パターン!F$2,$V72,0)))</f>
        <v>該当なし</v>
      </c>
      <c r="AB72" s="94">
        <f ca="1">IF($V72="","",IF(OFFSET(選択肢パターン!G$2,$V72,0)="","",OFFSET(選択肢パターン!G$2,$V72,0)))</f>
        <v>1</v>
      </c>
      <c r="AC72" s="94">
        <f ca="1">IF($V72="","",IF(OFFSET(選択肢パターン!H$2,$V72,0)="","",OFFSET(選択肢パターン!H$2,$V72,0)))</f>
        <v>0.75</v>
      </c>
      <c r="AD72" s="94">
        <f ca="1">IF($V72="","",IF(OFFSET(選択肢パターン!I$2,$V72,0)="","",OFFSET(選択肢パターン!I$2,$V72,0)))</f>
        <v>0.25</v>
      </c>
      <c r="AE72" s="14">
        <f ca="1">IF($V72="","",IF(OFFSET(選択肢パターン!J$2,$V72,0)="","",OFFSET(選択肢パターン!J$2,$V72,0)))</f>
        <v>0</v>
      </c>
      <c r="AF72" s="14" t="str">
        <f ca="1">IF($V72="","",IF(OFFSET(選択肢パターン!K$2,$V72,0)="","",OFFSET(選択肢パターン!K$2,$V72,0)))</f>
        <v/>
      </c>
    </row>
    <row r="73" spans="2:32" ht="32.25" thickBot="1">
      <c r="B73" s="265"/>
      <c r="C73" s="261"/>
      <c r="D73" s="37">
        <v>55</v>
      </c>
      <c r="E73" s="509" t="str">
        <f>VLOOKUP($D73,削減率設定!$C$5:$P$74,2,FALSE)</f>
        <v>デスクライトの活用</v>
      </c>
      <c r="F73" s="38" t="str">
        <f>VLOOKUP($D73,削減率設定!$C$5:$P$74,3,FALSE)</f>
        <v>室全体の照度を引下げ､デスクライト等により作業面の照度を確保（タスクアンビエント方式）</v>
      </c>
      <c r="G73" s="108" t="str">
        <f>IF(対策チェック!AH80="","",対策チェック!AH80)</f>
        <v/>
      </c>
      <c r="H73" s="313"/>
      <c r="I73" s="85" t="str">
        <f t="shared" ca="1" si="2"/>
        <v/>
      </c>
      <c r="J73" s="514">
        <f ca="1">IF(IFERROR(OFFSET(削減率設定!$O$3,MATCH($D73,削減率設定!$C$5:$C$74,0)+1,0),0)=0,"-",OFFSET(削減率設定!$O$3,MATCH($D73,削減率設定!$C$5:$C$74,0)+1,0))</f>
        <v>0.125</v>
      </c>
      <c r="K73" s="200">
        <f ca="1">IFERROR(VLOOKUP(O73,エネルギーシェア!$B$4:$I$23,MATCH("選択中",エネルギーシェア!$B$2:$I$2,0),FALSE)/100,0)+IFERROR(VLOOKUP(P73,エネルギーシェア!$B$4:$I$23,MATCH("選択中",エネルギーシェア!$B$2:$I$2,0),FALSE)/100,0)</f>
        <v>0.20200000000000004</v>
      </c>
      <c r="L73" s="57" t="str">
        <f t="shared" ca="1" si="3"/>
        <v>-</v>
      </c>
      <c r="M73" s="39" t="str">
        <f t="shared" ca="1" si="4"/>
        <v>-</v>
      </c>
      <c r="N73" s="36" t="s">
        <v>71</v>
      </c>
      <c r="O73" s="32" t="s">
        <v>50</v>
      </c>
      <c r="P73" s="19"/>
      <c r="Q73" s="134" t="str">
        <f t="shared" ca="1" si="11"/>
        <v>-</v>
      </c>
      <c r="R73" t="str">
        <f ca="1">IF(AND(G73&lt;&gt;W73,G73&lt;&gt;AA73,OR(Q73=1,AND(Q73=2,COUNTIF(Q$64:Q$73,1)&lt;3),AND(Q73=3,COUNTIF(Q$64:Q$73,2)&lt;2,COUNTIF(Q$64:Q73,3)&lt;3))),"・"&amp;E73&amp;CHAR(13),"")</f>
        <v/>
      </c>
      <c r="T73" s="4"/>
      <c r="U73" s="4"/>
      <c r="V73">
        <v>2</v>
      </c>
      <c r="W73" s="70" t="str">
        <f ca="1">IF($V73="","",IF(OFFSET(選択肢パターン!B$2,$V73,0)="","",OFFSET(選択肢パターン!B$2,$V73,0)))</f>
        <v>実施済</v>
      </c>
      <c r="X73" s="70" t="str">
        <f ca="1">IF($V73="","",IF(OFFSET(選択肢パターン!C$2,$V73,0)="","",OFFSET(選択肢パターン!C$2,$V73,0)))</f>
        <v>過半で実施済</v>
      </c>
      <c r="Y73" s="70" t="str">
        <f ca="1">IF($V73="","",IF(OFFSET(選択肢パターン!D$2,$V73,0)="","",OFFSET(選択肢パターン!D$2,$V73,0)))</f>
        <v>一部実施済</v>
      </c>
      <c r="Z73" s="4" t="str">
        <f ca="1">IF($V73="","",IF(OFFSET(選択肢パターン!E$2,$V73,0)="","",OFFSET(選択肢パターン!E$2,$V73,0)))</f>
        <v>未実施</v>
      </c>
      <c r="AA73" s="4" t="str">
        <f ca="1">IF($V73="","",IF(OFFSET(選択肢パターン!F$2,$V73,0)="","",OFFSET(選択肢パターン!F$2,$V73,0)))</f>
        <v>該当なし</v>
      </c>
      <c r="AB73" s="94">
        <f ca="1">IF($V73="","",IF(OFFSET(選択肢パターン!G$2,$V73,0)="","",OFFSET(選択肢パターン!G$2,$V73,0)))</f>
        <v>1</v>
      </c>
      <c r="AC73" s="94">
        <f ca="1">IF($V73="","",IF(OFFSET(選択肢パターン!H$2,$V73,0)="","",OFFSET(選択肢パターン!H$2,$V73,0)))</f>
        <v>0.75</v>
      </c>
      <c r="AD73" s="94">
        <f ca="1">IF($V73="","",IF(OFFSET(選択肢パターン!I$2,$V73,0)="","",OFFSET(選択肢パターン!I$2,$V73,0)))</f>
        <v>0.25</v>
      </c>
      <c r="AE73" s="14">
        <f ca="1">IF($V73="","",IF(OFFSET(選択肢パターン!J$2,$V73,0)="","",OFFSET(選択肢パターン!J$2,$V73,0)))</f>
        <v>0</v>
      </c>
      <c r="AF73" s="14" t="str">
        <f ca="1">IF($V73="","",IF(OFFSET(選択肢パターン!K$2,$V73,0)="","",OFFSET(選択肢パターン!K$2,$V73,0)))</f>
        <v/>
      </c>
    </row>
    <row r="74" spans="2:32">
      <c r="B74" s="262"/>
      <c r="C74" s="279" t="s">
        <v>346</v>
      </c>
      <c r="D74" s="49">
        <v>56</v>
      </c>
      <c r="E74" s="510" t="str">
        <f>VLOOKUP($D74,削減率設定!$C$5:$P$74,2,FALSE)</f>
        <v>給湯運転時間の適正化</v>
      </c>
      <c r="F74" s="50" t="str">
        <f>VLOOKUP($D74,削減率設定!$C$5:$P$74,3,FALSE)</f>
        <v>夜間､休日等の勤務時間外は停止</v>
      </c>
      <c r="G74" s="109" t="str">
        <f>IF(対策チェック!AH81="","",対策チェック!AH81)</f>
        <v/>
      </c>
      <c r="I74" s="86" t="str">
        <f t="shared" ca="1" si="2"/>
        <v/>
      </c>
      <c r="J74" s="515">
        <f ca="1">IF(IFERROR(OFFSET(削減率設定!$O$3,MATCH($D74,削減率設定!$C$5:$C$74,0)+1,0),0)=0,"-",OFFSET(削減率設定!$O$3,MATCH($D74,削減率設定!$C$5:$C$74,0)+1,0))</f>
        <v>0.05</v>
      </c>
      <c r="K74" s="201">
        <f ca="1">IFERROR(VLOOKUP(O74,エネルギーシェア!$B$4:$I$23,MATCH("選択中",エネルギーシェア!$B$2:$I$2,0),FALSE)/100,0)+IFERROR(VLOOKUP(P74,エネルギーシェア!$B$4:$I$23,MATCH("選択中",エネルギーシェア!$B$2:$I$2,0),FALSE)/100,0)</f>
        <v>1.3999999999999999E-2</v>
      </c>
      <c r="L74" s="58" t="str">
        <f t="shared" ca="1" si="3"/>
        <v>-</v>
      </c>
      <c r="M74" s="51" t="str">
        <f t="shared" ca="1" si="4"/>
        <v>-</v>
      </c>
      <c r="N74" s="52" t="s">
        <v>71</v>
      </c>
      <c r="O74" s="32" t="s">
        <v>49</v>
      </c>
      <c r="P74" s="19"/>
      <c r="Q74" s="134" t="str">
        <f ca="1">IFERROR(RANK(L74,$L$74:$L$78),"-")</f>
        <v>-</v>
      </c>
      <c r="R74" t="str">
        <f ca="1">IF(AND(G74&lt;&gt;W74,G74&lt;&gt;AA74,OR(Q74=1,AND(Q74=2,COUNTIF(Q$74:Q$78,1)&lt;3),AND(Q74=3,COUNTIF(Q$74:Q$78,2)&lt;2,COUNTIF(Q$74:Q74,3)&lt;3))),"・"&amp;E74&amp;CHAR(13),"")</f>
        <v/>
      </c>
      <c r="T74" s="4"/>
      <c r="U74" s="4"/>
      <c r="V74">
        <v>2</v>
      </c>
      <c r="W74" s="70" t="str">
        <f ca="1">IF($V74="","",IF(OFFSET(選択肢パターン!B$2,$V74,0)="","",OFFSET(選択肢パターン!B$2,$V74,0)))</f>
        <v>実施済</v>
      </c>
      <c r="X74" s="70" t="str">
        <f ca="1">IF($V74="","",IF(OFFSET(選択肢パターン!C$2,$V74,0)="","",OFFSET(選択肢パターン!C$2,$V74,0)))</f>
        <v>過半で実施済</v>
      </c>
      <c r="Y74" s="70" t="str">
        <f ca="1">IF($V74="","",IF(OFFSET(選択肢パターン!D$2,$V74,0)="","",OFFSET(選択肢パターン!D$2,$V74,0)))</f>
        <v>一部実施済</v>
      </c>
      <c r="Z74" s="4" t="str">
        <f ca="1">IF($V74="","",IF(OFFSET(選択肢パターン!E$2,$V74,0)="","",OFFSET(選択肢パターン!E$2,$V74,0)))</f>
        <v>未実施</v>
      </c>
      <c r="AA74" s="4" t="str">
        <f ca="1">IF($V74="","",IF(OFFSET(選択肢パターン!F$2,$V74,0)="","",OFFSET(選択肢パターン!F$2,$V74,0)))</f>
        <v>該当なし</v>
      </c>
      <c r="AB74" s="94">
        <f ca="1">IF($V74="","",IF(OFFSET(選択肢パターン!G$2,$V74,0)="","",OFFSET(選択肢パターン!G$2,$V74,0)))</f>
        <v>1</v>
      </c>
      <c r="AC74" s="94">
        <f ca="1">IF($V74="","",IF(OFFSET(選択肢パターン!H$2,$V74,0)="","",OFFSET(選択肢パターン!H$2,$V74,0)))</f>
        <v>0.75</v>
      </c>
      <c r="AD74" s="94">
        <f ca="1">IF($V74="","",IF(OFFSET(選択肢パターン!I$2,$V74,0)="","",OFFSET(選択肢パターン!I$2,$V74,0)))</f>
        <v>0.25</v>
      </c>
      <c r="AE74" s="14">
        <f ca="1">IF($V74="","",IF(OFFSET(選択肢パターン!J$2,$V74,0)="","",OFFSET(選択肢パターン!J$2,$V74,0)))</f>
        <v>0</v>
      </c>
      <c r="AF74" s="14" t="str">
        <f ca="1">IF($V74="","",IF(OFFSET(選択肢パターン!K$2,$V74,0)="","",OFFSET(選択肢パターン!K$2,$V74,0)))</f>
        <v/>
      </c>
    </row>
    <row r="75" spans="2:32" ht="24">
      <c r="B75" s="264" t="s">
        <v>345</v>
      </c>
      <c r="C75" s="266">
        <f ca="1">SUM(L74,L75,L77)</f>
        <v>0</v>
      </c>
      <c r="D75" s="3">
        <v>57</v>
      </c>
      <c r="E75" s="505" t="str">
        <f>VLOOKUP($D75,削減率設定!$C$5:$P$74,2,FALSE)</f>
        <v>冬季以外の手洗い給湯停止</v>
      </c>
      <c r="F75" s="5" t="str">
        <f>VLOOKUP($D75,削減率設定!$C$5:$P$74,3,FALSE)</f>
        <v>手洗い用給湯器は5月～10月停止</v>
      </c>
      <c r="G75" s="105" t="str">
        <f>IF(対策チェック!AH82="","",対策チェック!AH82)</f>
        <v/>
      </c>
      <c r="I75" s="82" t="str">
        <f t="shared" ca="1" si="2"/>
        <v/>
      </c>
      <c r="J75" s="512">
        <f ca="1">IF(IFERROR(OFFSET(削減率設定!$O$3,MATCH($D75,削減率設定!$C$5:$C$74,0)+1,0),0)=0,"-",OFFSET(削減率設定!$O$3,MATCH($D75,削減率設定!$C$5:$C$74,0)+1,0))</f>
        <v>0.1</v>
      </c>
      <c r="K75" s="197">
        <f ca="1">IFERROR(VLOOKUP(O75,エネルギーシェア!$B$4:$I$23,MATCH("選択中",エネルギーシェア!$B$2:$I$2,0),FALSE)/100,0)+IFERROR(VLOOKUP(P75,エネルギーシェア!$B$4:$I$23,MATCH("選択中",エネルギーシェア!$B$2:$I$2,0),FALSE)/100,0)</f>
        <v>1.3999999999999999E-2</v>
      </c>
      <c r="L75" s="54" t="str">
        <f t="shared" ca="1" si="3"/>
        <v>-</v>
      </c>
      <c r="M75" s="15" t="str">
        <f t="shared" ca="1" si="4"/>
        <v>-</v>
      </c>
      <c r="N75" s="34" t="s">
        <v>71</v>
      </c>
      <c r="O75" s="32" t="s">
        <v>49</v>
      </c>
      <c r="P75" s="19"/>
      <c r="Q75" s="134" t="str">
        <f t="shared" ref="Q75:Q78" ca="1" si="12">IFERROR(RANK(L75,$L$74:$L$78),"-")</f>
        <v>-</v>
      </c>
      <c r="R75" t="str">
        <f ca="1">IF(AND(G75&lt;&gt;W75,G75&lt;&gt;AA75,OR(Q75=1,AND(Q75=2,COUNTIF(Q$74:Q$78,1)&lt;3),AND(Q75=3,COUNTIF(Q$74:Q$78,2)&lt;2,COUNTIF(Q$74:Q75,3)&lt;3))),"・"&amp;E75&amp;CHAR(13),"")</f>
        <v/>
      </c>
      <c r="T75" s="4"/>
      <c r="U75" s="4"/>
      <c r="V75">
        <v>2</v>
      </c>
      <c r="W75" s="70" t="str">
        <f ca="1">IF($V75="","",IF(OFFSET(選択肢パターン!B$2,$V75,0)="","",OFFSET(選択肢パターン!B$2,$V75,0)))</f>
        <v>実施済</v>
      </c>
      <c r="X75" s="70" t="str">
        <f ca="1">IF($V75="","",IF(OFFSET(選択肢パターン!C$2,$V75,0)="","",OFFSET(選択肢パターン!C$2,$V75,0)))</f>
        <v>過半で実施済</v>
      </c>
      <c r="Y75" s="70" t="str">
        <f ca="1">IF($V75="","",IF(OFFSET(選択肢パターン!D$2,$V75,0)="","",OFFSET(選択肢パターン!D$2,$V75,0)))</f>
        <v>一部実施済</v>
      </c>
      <c r="Z75" s="4" t="str">
        <f ca="1">IF($V75="","",IF(OFFSET(選択肢パターン!E$2,$V75,0)="","",OFFSET(選択肢パターン!E$2,$V75,0)))</f>
        <v>未実施</v>
      </c>
      <c r="AA75" s="4" t="str">
        <f ca="1">IF($V75="","",IF(OFFSET(選択肢パターン!F$2,$V75,0)="","",OFFSET(選択肢パターン!F$2,$V75,0)))</f>
        <v>該当なし</v>
      </c>
      <c r="AB75" s="94">
        <f ca="1">IF($V75="","",IF(OFFSET(選択肢パターン!G$2,$V75,0)="","",OFFSET(選択肢パターン!G$2,$V75,0)))</f>
        <v>1</v>
      </c>
      <c r="AC75" s="94">
        <f ca="1">IF($V75="","",IF(OFFSET(選択肢パターン!H$2,$V75,0)="","",OFFSET(選択肢パターン!H$2,$V75,0)))</f>
        <v>0.75</v>
      </c>
      <c r="AD75" s="94">
        <f ca="1">IF($V75="","",IF(OFFSET(選択肢パターン!I$2,$V75,0)="","",OFFSET(選択肢パターン!I$2,$V75,0)))</f>
        <v>0.25</v>
      </c>
      <c r="AE75" s="14">
        <f ca="1">IF($V75="","",IF(OFFSET(選択肢パターン!J$2,$V75,0)="","",OFFSET(選択肢パターン!J$2,$V75,0)))</f>
        <v>0</v>
      </c>
      <c r="AF75" s="14" t="str">
        <f ca="1">IF($V75="","",IF(OFFSET(選択肢パターン!K$2,$V75,0)="","",OFFSET(選択肢パターン!K$2,$V75,0)))</f>
        <v/>
      </c>
    </row>
    <row r="76" spans="2:32" ht="37.5">
      <c r="B76" s="254" t="s">
        <v>349</v>
      </c>
      <c r="C76" s="267">
        <f ca="1">SUM(M74:M78)</f>
        <v>0</v>
      </c>
      <c r="D76" s="3">
        <v>58</v>
      </c>
      <c r="E76" s="505" t="str">
        <f>VLOOKUP($D76,削減率設定!$C$5:$P$74,2,FALSE)</f>
        <v>手洗い、シャワー用給湯温度の適正化</v>
      </c>
      <c r="F76" s="5" t="str">
        <f>VLOOKUP($D76,削減率設定!$C$5:$P$74,3,FALSE)</f>
        <v>個別給湯：40℃程度以下
セントラル給湯：給湯下限温度60℃程度</v>
      </c>
      <c r="G76" s="105" t="str">
        <f>IF(対策チェック!AH83="","",対策チェック!AH83)</f>
        <v/>
      </c>
      <c r="I76" s="82" t="str">
        <f t="shared" ca="1" si="2"/>
        <v/>
      </c>
      <c r="J76" s="512">
        <f ca="1">IF(IFERROR(OFFSET(削減率設定!$O$3,MATCH($D76,削減率設定!$C$5:$C$74,0)+1,0),0)=0,"-",OFFSET(削減率設定!$O$3,MATCH($D76,削減率設定!$C$5:$C$74,0)+1,0))</f>
        <v>0.05</v>
      </c>
      <c r="K76" s="197">
        <f ca="1">IFERROR(VLOOKUP(O76,エネルギーシェア!$B$4:$I$23,MATCH("選択中",エネルギーシェア!$B$2:$I$2,0),FALSE)/100,0)+IFERROR(VLOOKUP(P76,エネルギーシェア!$B$4:$I$23,MATCH("選択中",エネルギーシェア!$B$2:$I$2,0),FALSE)/100,0)</f>
        <v>1.3999999999999999E-2</v>
      </c>
      <c r="L76" s="54" t="str">
        <f t="shared" ca="1" si="3"/>
        <v>-</v>
      </c>
      <c r="M76" s="15" t="str">
        <f t="shared" ca="1" si="4"/>
        <v>-</v>
      </c>
      <c r="N76" s="35" t="str">
        <f ca="1">IFERROR(#REF!*L76,"-")</f>
        <v>-</v>
      </c>
      <c r="O76" s="32" t="s">
        <v>49</v>
      </c>
      <c r="P76" s="19"/>
      <c r="Q76" s="134" t="str">
        <f t="shared" ca="1" si="12"/>
        <v>-</v>
      </c>
      <c r="R76" t="str">
        <f ca="1">IF(AND(G76&lt;&gt;W76,G76&lt;&gt;AA76,OR(Q76=1,AND(Q76=2,COUNTIF(Q$74:Q$78,1)&lt;3),AND(Q76=3,COUNTIF(Q$74:Q$78,2)&lt;2,COUNTIF(Q$74:Q76,3)&lt;3))),"・"&amp;E76&amp;CHAR(13),"")</f>
        <v/>
      </c>
      <c r="T76" s="4"/>
      <c r="U76" s="4"/>
      <c r="V76">
        <v>2</v>
      </c>
      <c r="W76" s="70" t="str">
        <f ca="1">IF($V76="","",IF(OFFSET(選択肢パターン!B$2,$V76,0)="","",OFFSET(選択肢パターン!B$2,$V76,0)))</f>
        <v>実施済</v>
      </c>
      <c r="X76" s="70" t="str">
        <f ca="1">IF($V76="","",IF(OFFSET(選択肢パターン!C$2,$V76,0)="","",OFFSET(選択肢パターン!C$2,$V76,0)))</f>
        <v>過半で実施済</v>
      </c>
      <c r="Y76" s="70" t="str">
        <f ca="1">IF($V76="","",IF(OFFSET(選択肢パターン!D$2,$V76,0)="","",OFFSET(選択肢パターン!D$2,$V76,0)))</f>
        <v>一部実施済</v>
      </c>
      <c r="Z76" s="4" t="str">
        <f ca="1">IF($V76="","",IF(OFFSET(選択肢パターン!E$2,$V76,0)="","",OFFSET(選択肢パターン!E$2,$V76,0)))</f>
        <v>未実施</v>
      </c>
      <c r="AA76" s="4" t="str">
        <f ca="1">IF($V76="","",IF(OFFSET(選択肢パターン!F$2,$V76,0)="","",OFFSET(選択肢パターン!F$2,$V76,0)))</f>
        <v>該当なし</v>
      </c>
      <c r="AB76" s="94">
        <f ca="1">IF($V76="","",IF(OFFSET(選択肢パターン!G$2,$V76,0)="","",OFFSET(選択肢パターン!G$2,$V76,0)))</f>
        <v>1</v>
      </c>
      <c r="AC76" s="94">
        <f ca="1">IF($V76="","",IF(OFFSET(選択肢パターン!H$2,$V76,0)="","",OFFSET(選択肢パターン!H$2,$V76,0)))</f>
        <v>0.75</v>
      </c>
      <c r="AD76" s="94">
        <f ca="1">IF($V76="","",IF(OFFSET(選択肢パターン!I$2,$V76,0)="","",OFFSET(選択肢パターン!I$2,$V76,0)))</f>
        <v>0.25</v>
      </c>
      <c r="AE76" s="14">
        <f ca="1">IF($V76="","",IF(OFFSET(選択肢パターン!J$2,$V76,0)="","",OFFSET(選択肢パターン!J$2,$V76,0)))</f>
        <v>0</v>
      </c>
      <c r="AF76" s="14" t="str">
        <f ca="1">IF($V76="","",IF(OFFSET(選択肢パターン!K$2,$V76,0)="","",OFFSET(選択肢パターン!K$2,$V76,0)))</f>
        <v/>
      </c>
    </row>
    <row r="77" spans="2:32" ht="37.5">
      <c r="B77" s="254" t="s">
        <v>350</v>
      </c>
      <c r="C77" s="360">
        <f ca="1">10*SUM(I74:I78)/(5-COUNTIF(G74:G78,"該当なし"))</f>
        <v>0</v>
      </c>
      <c r="D77" s="40">
        <v>59</v>
      </c>
      <c r="E77" s="506" t="str">
        <f>VLOOKUP($D77,削減率設定!$C$5:$P$74,2,FALSE)</f>
        <v>節水対策</v>
      </c>
      <c r="F77" s="6" t="str">
        <f>VLOOKUP($D77,削減率設定!$C$5:$P$74,3,FALSE)</f>
        <v>節水コマの採用</v>
      </c>
      <c r="G77" s="105" t="str">
        <f>IF(対策チェック!AH84="","",対策チェック!AH84)</f>
        <v/>
      </c>
      <c r="I77" s="82" t="str">
        <f t="shared" ca="1" si="2"/>
        <v/>
      </c>
      <c r="J77" s="512">
        <f ca="1">IF(IFERROR(OFFSET(削減率設定!$O$3,MATCH($D77,削減率設定!$C$5:$C$74,0)+1,0),0)=0,"-",OFFSET(削減率設定!$O$3,MATCH($D77,削減率設定!$C$5:$C$74,0)+1,0))</f>
        <v>1.4999999999999999E-2</v>
      </c>
      <c r="K77" s="197">
        <f ca="1">IFERROR(VLOOKUP(O77,エネルギーシェア!$B$4:$I$23,MATCH("選択中",エネルギーシェア!$B$2:$I$2,0),FALSE)/100,0)+IFERROR(VLOOKUP(P77,エネルギーシェア!$B$4:$I$23,MATCH("選択中",エネルギーシェア!$B$2:$I$2,0),FALSE)/100,0)</f>
        <v>8.0000000000000002E-3</v>
      </c>
      <c r="L77" s="54" t="str">
        <f t="shared" ca="1" si="3"/>
        <v>-</v>
      </c>
      <c r="M77" s="15" t="str">
        <f t="shared" ca="1" si="4"/>
        <v>-</v>
      </c>
      <c r="N77" s="34" t="s">
        <v>71</v>
      </c>
      <c r="O77" s="32" t="s">
        <v>54</v>
      </c>
      <c r="P77" s="19"/>
      <c r="Q77" s="134" t="str">
        <f t="shared" ca="1" si="12"/>
        <v>-</v>
      </c>
      <c r="R77" t="str">
        <f ca="1">IF(AND(G77&lt;&gt;W77,G77&lt;&gt;AA77,OR(Q77=1,AND(Q77=2,COUNTIF(Q$74:Q$78,1)&lt;3),AND(Q77=3,COUNTIF(Q$74:Q$78,2)&lt;2,COUNTIF(Q$74:Q77,3)&lt;3))),"・"&amp;E77&amp;CHAR(13),"")</f>
        <v/>
      </c>
      <c r="T77" s="4"/>
      <c r="U77" s="4"/>
      <c r="V77">
        <v>2</v>
      </c>
      <c r="W77" s="70" t="str">
        <f ca="1">IF($V77="","",IF(OFFSET(選択肢パターン!B$2,$V77,0)="","",OFFSET(選択肢パターン!B$2,$V77,0)))</f>
        <v>実施済</v>
      </c>
      <c r="X77" s="70" t="str">
        <f ca="1">IF($V77="","",IF(OFFSET(選択肢パターン!C$2,$V77,0)="","",OFFSET(選択肢パターン!C$2,$V77,0)))</f>
        <v>過半で実施済</v>
      </c>
      <c r="Y77" s="70" t="str">
        <f ca="1">IF($V77="","",IF(OFFSET(選択肢パターン!D$2,$V77,0)="","",OFFSET(選択肢パターン!D$2,$V77,0)))</f>
        <v>一部実施済</v>
      </c>
      <c r="Z77" s="4" t="str">
        <f ca="1">IF($V77="","",IF(OFFSET(選択肢パターン!E$2,$V77,0)="","",OFFSET(選択肢パターン!E$2,$V77,0)))</f>
        <v>未実施</v>
      </c>
      <c r="AA77" s="4" t="str">
        <f ca="1">IF($V77="","",IF(OFFSET(選択肢パターン!F$2,$V77,0)="","",OFFSET(選択肢パターン!F$2,$V77,0)))</f>
        <v>該当なし</v>
      </c>
      <c r="AB77" s="94">
        <f ca="1">IF($V77="","",IF(OFFSET(選択肢パターン!G$2,$V77,0)="","",OFFSET(選択肢パターン!G$2,$V77,0)))</f>
        <v>1</v>
      </c>
      <c r="AC77" s="94">
        <f ca="1">IF($V77="","",IF(OFFSET(選択肢パターン!H$2,$V77,0)="","",OFFSET(選択肢パターン!H$2,$V77,0)))</f>
        <v>0.75</v>
      </c>
      <c r="AD77" s="94">
        <f ca="1">IF($V77="","",IF(OFFSET(選択肢パターン!I$2,$V77,0)="","",OFFSET(選択肢パターン!I$2,$V77,0)))</f>
        <v>0.25</v>
      </c>
      <c r="AE77" s="14">
        <f ca="1">IF($V77="","",IF(OFFSET(選択肢パターン!J$2,$V77,0)="","",OFFSET(選択肢パターン!J$2,$V77,0)))</f>
        <v>0</v>
      </c>
      <c r="AF77" s="14" t="str">
        <f ca="1">IF($V77="","",IF(OFFSET(選択肢パターン!K$2,$V77,0)="","",OFFSET(選択肢パターン!K$2,$V77,0)))</f>
        <v/>
      </c>
    </row>
    <row r="78" spans="2:32" ht="19.5" thickBot="1">
      <c r="B78" s="265" t="e">
        <f ca="1">$F$9*C76</f>
        <v>#N/A</v>
      </c>
      <c r="C78" s="271">
        <f ca="1">SUM(N74:N78)</f>
        <v>0</v>
      </c>
      <c r="D78" s="40">
        <v>60</v>
      </c>
      <c r="E78" s="507" t="str">
        <f>VLOOKUP($D78,削減率設定!$C$5:$P$74,2,FALSE)</f>
        <v>水圧の低減</v>
      </c>
      <c r="F78" s="42" t="str">
        <f>VLOOKUP($D78,削減率設定!$C$5:$P$74,3,FALSE)</f>
        <v>使用上支障のない範囲で給水バルブを絞り減圧</v>
      </c>
      <c r="G78" s="107" t="str">
        <f>IF(対策チェック!AH85="","",対策チェック!AH85)</f>
        <v/>
      </c>
      <c r="I78" s="83" t="str">
        <f t="shared" ca="1" si="2"/>
        <v/>
      </c>
      <c r="J78" s="513">
        <f ca="1">IF(IFERROR(OFFSET(削減率設定!$O$3,MATCH($D78,削減率設定!$C$5:$C$74,0)+1,0),0)=0,"-",OFFSET(削減率設定!$O$3,MATCH($D78,削減率設定!$C$5:$C$74,0)+1,0))</f>
        <v>1.4999999999999999E-2</v>
      </c>
      <c r="K78" s="198">
        <f ca="1">IFERROR(VLOOKUP(O78,エネルギーシェア!$B$4:$I$23,MATCH("選択中",エネルギーシェア!$B$2:$I$2,0),FALSE)/100,0)+IFERROR(VLOOKUP(P78,エネルギーシェア!$B$4:$I$23,MATCH("選択中",エネルギーシェア!$B$2:$I$2,0),FALSE)/100,0)</f>
        <v>8.0000000000000002E-3</v>
      </c>
      <c r="L78" s="55" t="str">
        <f t="shared" ca="1" si="3"/>
        <v>-</v>
      </c>
      <c r="M78" s="15" t="str">
        <f t="shared" ca="1" si="4"/>
        <v>-</v>
      </c>
      <c r="N78" s="44" t="str">
        <f ca="1">IFERROR(#REF!*L78,"-")</f>
        <v>-</v>
      </c>
      <c r="O78" s="32" t="s">
        <v>54</v>
      </c>
      <c r="P78" s="19"/>
      <c r="Q78" s="134" t="str">
        <f t="shared" ca="1" si="12"/>
        <v>-</v>
      </c>
      <c r="R78" t="str">
        <f ca="1">IF(AND(G78&lt;&gt;W78,G78&lt;&gt;AA78,OR(Q78=1,AND(Q78=2,COUNTIF(Q$74:Q$78,1)&lt;3),AND(Q78=3,COUNTIF(Q$74:Q$78,2)&lt;2,COUNTIF(Q$74:Q78,3)&lt;3))),"・"&amp;E78&amp;CHAR(13),"")</f>
        <v/>
      </c>
      <c r="T78" s="4"/>
      <c r="U78" s="4"/>
      <c r="V78">
        <v>2</v>
      </c>
      <c r="W78" s="70" t="str">
        <f ca="1">IF($V78="","",IF(OFFSET(選択肢パターン!B$2,$V78,0)="","",OFFSET(選択肢パターン!B$2,$V78,0)))</f>
        <v>実施済</v>
      </c>
      <c r="X78" s="70" t="str">
        <f ca="1">IF($V78="","",IF(OFFSET(選択肢パターン!C$2,$V78,0)="","",OFFSET(選択肢パターン!C$2,$V78,0)))</f>
        <v>過半で実施済</v>
      </c>
      <c r="Y78" s="70" t="str">
        <f ca="1">IF($V78="","",IF(OFFSET(選択肢パターン!D$2,$V78,0)="","",OFFSET(選択肢パターン!D$2,$V78,0)))</f>
        <v>一部実施済</v>
      </c>
      <c r="Z78" s="4" t="str">
        <f ca="1">IF($V78="","",IF(OFFSET(選択肢パターン!E$2,$V78,0)="","",OFFSET(選択肢パターン!E$2,$V78,0)))</f>
        <v>未実施</v>
      </c>
      <c r="AA78" s="4" t="str">
        <f ca="1">IF($V78="","",IF(OFFSET(選択肢パターン!F$2,$V78,0)="","",OFFSET(選択肢パターン!F$2,$V78,0)))</f>
        <v>該当なし</v>
      </c>
      <c r="AB78" s="94">
        <f ca="1">IF($V78="","",IF(OFFSET(選択肢パターン!G$2,$V78,0)="","",OFFSET(選択肢パターン!G$2,$V78,0)))</f>
        <v>1</v>
      </c>
      <c r="AC78" s="94">
        <f ca="1">IF($V78="","",IF(OFFSET(選択肢パターン!H$2,$V78,0)="","",OFFSET(選択肢パターン!H$2,$V78,0)))</f>
        <v>0.75</v>
      </c>
      <c r="AD78" s="94">
        <f ca="1">IF($V78="","",IF(OFFSET(選択肢パターン!I$2,$V78,0)="","",OFFSET(選択肢パターン!I$2,$V78,0)))</f>
        <v>0.25</v>
      </c>
      <c r="AE78" s="14">
        <f ca="1">IF($V78="","",IF(OFFSET(選択肢パターン!J$2,$V78,0)="","",OFFSET(選択肢パターン!J$2,$V78,0)))</f>
        <v>0</v>
      </c>
      <c r="AF78" s="14" t="str">
        <f ca="1">IF($V78="","",IF(OFFSET(選択肢パターン!K$2,$V78,0)="","",OFFSET(選択肢パターン!K$2,$V78,0)))</f>
        <v/>
      </c>
    </row>
    <row r="79" spans="2:32" ht="49.5">
      <c r="B79" s="272"/>
      <c r="C79" s="278" t="s">
        <v>464</v>
      </c>
      <c r="D79" s="45">
        <v>61</v>
      </c>
      <c r="E79" s="508" t="str">
        <f>VLOOKUP($D79,削減率設定!$C$5:$P$74,2,FALSE)</f>
        <v>事務用機器の省エネモードの活用</v>
      </c>
      <c r="F79" s="46" t="str">
        <f>VLOOKUP($D79,削減率設定!$C$5:$P$74,3,FALSE)</f>
        <v>ルールの設定､周知､点検</v>
      </c>
      <c r="G79" s="106" t="str">
        <f>IF(対策チェック!AH86="","",対策チェック!AH86)</f>
        <v/>
      </c>
      <c r="H79" s="312"/>
      <c r="I79" s="84" t="str">
        <f t="shared" ca="1" si="2"/>
        <v/>
      </c>
      <c r="J79" s="511">
        <f ca="1">IF(IFERROR(OFFSET(削減率設定!$O$3,MATCH($D79,削減率設定!$C$5:$C$74,0)+1,0),0)=0,"-",OFFSET(削減率設定!$O$3,MATCH($D79,削減率設定!$C$5:$C$74,0)+1,0))</f>
        <v>0.01</v>
      </c>
      <c r="K79" s="199">
        <f ca="1">IFERROR(VLOOKUP(O79,エネルギーシェア!$B$4:$I$23,MATCH("選択中",エネルギーシェア!$B$2:$I$2,0),FALSE)/100,0)+IFERROR(VLOOKUP(P79,エネルギーシェア!$B$4:$I$23,MATCH("選択中",エネルギーシェア!$B$2:$I$2,0),FALSE)/100,0)</f>
        <v>0.184</v>
      </c>
      <c r="L79" s="56" t="str">
        <f t="shared" ca="1" si="3"/>
        <v>-</v>
      </c>
      <c r="M79" s="47" t="str">
        <f t="shared" ca="1" si="4"/>
        <v>-</v>
      </c>
      <c r="N79" s="48" t="s">
        <v>71</v>
      </c>
      <c r="O79" s="32" t="s">
        <v>69</v>
      </c>
      <c r="P79" s="19"/>
      <c r="Q79" s="134" t="str">
        <f ca="1">IFERROR(RANK(L79,$L$79:$L$88),"-")</f>
        <v>-</v>
      </c>
      <c r="R79" t="str">
        <f ca="1">IF(AND(G79&lt;&gt;W79,G79&lt;&gt;AA79,OR(Q79=1,AND(Q79=2,COUNTIF(Q$79:Q$88,1)&lt;3),AND(Q79=3,COUNTIF(Q$79:Q$88,2)&lt;2,COUNTIF(Q$79:Q79,3)&lt;2))),"・"&amp;E79&amp;CHAR(13),"")</f>
        <v/>
      </c>
      <c r="T79" s="4"/>
      <c r="U79" s="4"/>
      <c r="V79">
        <v>2</v>
      </c>
      <c r="W79" s="70" t="str">
        <f ca="1">IF($V79="","",IF(OFFSET(選択肢パターン!B$2,$V79,0)="","",OFFSET(選択肢パターン!B$2,$V79,0)))</f>
        <v>実施済</v>
      </c>
      <c r="X79" s="70" t="str">
        <f ca="1">IF($V79="","",IF(OFFSET(選択肢パターン!C$2,$V79,0)="","",OFFSET(選択肢パターン!C$2,$V79,0)))</f>
        <v>過半で実施済</v>
      </c>
      <c r="Y79" s="70" t="str">
        <f ca="1">IF($V79="","",IF(OFFSET(選択肢パターン!D$2,$V79,0)="","",OFFSET(選択肢パターン!D$2,$V79,0)))</f>
        <v>一部実施済</v>
      </c>
      <c r="Z79" s="4" t="str">
        <f ca="1">IF($V79="","",IF(OFFSET(選択肢パターン!E$2,$V79,0)="","",OFFSET(選択肢パターン!E$2,$V79,0)))</f>
        <v>未実施</v>
      </c>
      <c r="AA79" s="4" t="str">
        <f ca="1">IF($V79="","",IF(OFFSET(選択肢パターン!F$2,$V79,0)="","",OFFSET(選択肢パターン!F$2,$V79,0)))</f>
        <v>該当なし</v>
      </c>
      <c r="AB79" s="94">
        <f ca="1">IF($V79="","",IF(OFFSET(選択肢パターン!G$2,$V79,0)="","",OFFSET(選択肢パターン!G$2,$V79,0)))</f>
        <v>1</v>
      </c>
      <c r="AC79" s="94">
        <f ca="1">IF($V79="","",IF(OFFSET(選択肢パターン!H$2,$V79,0)="","",OFFSET(選択肢パターン!H$2,$V79,0)))</f>
        <v>0.75</v>
      </c>
      <c r="AD79" s="94">
        <f ca="1">IF($V79="","",IF(OFFSET(選択肢パターン!I$2,$V79,0)="","",OFFSET(選択肢パターン!I$2,$V79,0)))</f>
        <v>0.25</v>
      </c>
      <c r="AE79" s="14">
        <f ca="1">IF($V79="","",IF(OFFSET(選択肢パターン!J$2,$V79,0)="","",OFFSET(選択肢パターン!J$2,$V79,0)))</f>
        <v>0</v>
      </c>
      <c r="AF79" s="14" t="str">
        <f ca="1">IF($V79="","",IF(OFFSET(選択肢パターン!K$2,$V79,0)="","",OFFSET(選択肢パターン!K$2,$V79,0)))</f>
        <v/>
      </c>
    </row>
    <row r="80" spans="2:32">
      <c r="B80" s="263"/>
      <c r="C80" s="255" t="s">
        <v>4</v>
      </c>
      <c r="D80" s="3">
        <v>62</v>
      </c>
      <c r="E80" s="505" t="str">
        <f>VLOOKUP($D80,削減率設定!$C$5:$P$74,2,FALSE)</f>
        <v>事務用機器の終業後停止</v>
      </c>
      <c r="F80" s="5" t="str">
        <f>VLOOKUP($D80,削減率設定!$C$5:$P$74,3,FALSE)</f>
        <v>ルールの設定､周知､点検</v>
      </c>
      <c r="G80" s="105" t="str">
        <f>IF(対策チェック!AH87="","",対策チェック!AH87)</f>
        <v/>
      </c>
      <c r="I80" s="82" t="str">
        <f t="shared" ca="1" si="2"/>
        <v/>
      </c>
      <c r="J80" s="512">
        <f ca="1">IF(IFERROR(OFFSET(削減率設定!$O$3,MATCH($D80,削減率設定!$C$5:$C$74,0)+1,0),0)=0,"-",OFFSET(削減率設定!$O$3,MATCH($D80,削減率設定!$C$5:$C$74,0)+1,0))</f>
        <v>0.01</v>
      </c>
      <c r="K80" s="197">
        <f ca="1">IFERROR(VLOOKUP(O80,エネルギーシェア!$B$4:$I$23,MATCH("選択中",エネルギーシェア!$B$2:$I$2,0),FALSE)/100,0)+IFERROR(VLOOKUP(P80,エネルギーシェア!$B$4:$I$23,MATCH("選択中",エネルギーシェア!$B$2:$I$2,0),FALSE)/100,0)</f>
        <v>0.184</v>
      </c>
      <c r="L80" s="54" t="str">
        <f t="shared" ca="1" si="3"/>
        <v>-</v>
      </c>
      <c r="M80" s="15" t="str">
        <f t="shared" ca="1" si="4"/>
        <v>-</v>
      </c>
      <c r="N80" s="34" t="s">
        <v>71</v>
      </c>
      <c r="O80" s="32" t="s">
        <v>69</v>
      </c>
      <c r="P80" s="19"/>
      <c r="Q80" s="134" t="str">
        <f t="shared" ref="Q80:Q88" ca="1" si="13">IFERROR(RANK(L80,$L$79:$L$88),"-")</f>
        <v>-</v>
      </c>
      <c r="R80" t="str">
        <f ca="1">IF(AND(G80&lt;&gt;W80,G80&lt;&gt;AA80,OR(Q80=1,AND(Q80=2,COUNTIF(Q$79:Q$88,1)&lt;3),AND(Q80=3,COUNTIF(Q$79:Q$88,2)&lt;2,COUNTIF(Q$79:Q80,3)&lt;2))),"・"&amp;E80&amp;CHAR(13),"")</f>
        <v/>
      </c>
      <c r="T80" s="4"/>
      <c r="U80" s="4"/>
      <c r="V80">
        <v>2</v>
      </c>
      <c r="W80" s="70" t="str">
        <f ca="1">IF($V80="","",IF(OFFSET(選択肢パターン!B$2,$V80,0)="","",OFFSET(選択肢パターン!B$2,$V80,0)))</f>
        <v>実施済</v>
      </c>
      <c r="X80" s="70" t="str">
        <f ca="1">IF($V80="","",IF(OFFSET(選択肢パターン!C$2,$V80,0)="","",OFFSET(選択肢パターン!C$2,$V80,0)))</f>
        <v>過半で実施済</v>
      </c>
      <c r="Y80" s="70" t="str">
        <f ca="1">IF($V80="","",IF(OFFSET(選択肢パターン!D$2,$V80,0)="","",OFFSET(選択肢パターン!D$2,$V80,0)))</f>
        <v>一部実施済</v>
      </c>
      <c r="Z80" s="4" t="str">
        <f ca="1">IF($V80="","",IF(OFFSET(選択肢パターン!E$2,$V80,0)="","",OFFSET(選択肢パターン!E$2,$V80,0)))</f>
        <v>未実施</v>
      </c>
      <c r="AA80" s="4" t="str">
        <f ca="1">IF($V80="","",IF(OFFSET(選択肢パターン!F$2,$V80,0)="","",OFFSET(選択肢パターン!F$2,$V80,0)))</f>
        <v>該当なし</v>
      </c>
      <c r="AB80" s="94">
        <f ca="1">IF($V80="","",IF(OFFSET(選択肢パターン!G$2,$V80,0)="","",OFFSET(選択肢パターン!G$2,$V80,0)))</f>
        <v>1</v>
      </c>
      <c r="AC80" s="94">
        <f ca="1">IF($V80="","",IF(OFFSET(選択肢パターン!H$2,$V80,0)="","",OFFSET(選択肢パターン!H$2,$V80,0)))</f>
        <v>0.75</v>
      </c>
      <c r="AD80" s="94">
        <f ca="1">IF($V80="","",IF(OFFSET(選択肢パターン!I$2,$V80,0)="","",OFFSET(選択肢パターン!I$2,$V80,0)))</f>
        <v>0.25</v>
      </c>
      <c r="AE80" s="14">
        <f ca="1">IF($V80="","",IF(OFFSET(選択肢パターン!J$2,$V80,0)="","",OFFSET(選択肢パターン!J$2,$V80,0)))</f>
        <v>0</v>
      </c>
      <c r="AF80" s="14" t="str">
        <f ca="1">IF($V80="","",IF(OFFSET(選択肢パターン!K$2,$V80,0)="","",OFFSET(選択肢パターン!K$2,$V80,0)))</f>
        <v/>
      </c>
    </row>
    <row r="81" spans="2:32">
      <c r="B81" s="263"/>
      <c r="C81" s="256"/>
      <c r="D81" s="3">
        <v>63</v>
      </c>
      <c r="E81" s="505" t="str">
        <f>VLOOKUP($D81,削減率設定!$C$5:$P$74,2,FALSE)</f>
        <v>個人用端末の不用、離席時の停止</v>
      </c>
      <c r="F81" s="5" t="str">
        <f>VLOOKUP($D81,削減率設定!$C$5:$P$74,3,FALSE)</f>
        <v>ルールの設定､周知､点検</v>
      </c>
      <c r="G81" s="105" t="str">
        <f>IF(対策チェック!AH88="","",対策チェック!AH88)</f>
        <v/>
      </c>
      <c r="I81" s="82" t="str">
        <f t="shared" ca="1" si="2"/>
        <v/>
      </c>
      <c r="J81" s="512">
        <f ca="1">IF(IFERROR(OFFSET(削減率設定!$O$3,MATCH($D81,削減率設定!$C$5:$C$74,0)+1,0),0)=0,"-",OFFSET(削減率設定!$O$3,MATCH($D81,削減率設定!$C$5:$C$74,0)+1,0))</f>
        <v>0.01</v>
      </c>
      <c r="K81" s="197">
        <f ca="1">IFERROR(VLOOKUP(O81,エネルギーシェア!$B$4:$I$23,MATCH("選択中",エネルギーシェア!$B$2:$I$2,0),FALSE)/100,0)+IFERROR(VLOOKUP(P81,エネルギーシェア!$B$4:$I$23,MATCH("選択中",エネルギーシェア!$B$2:$I$2,0),FALSE)/100,0)</f>
        <v>0.184</v>
      </c>
      <c r="L81" s="54" t="str">
        <f t="shared" ca="1" si="3"/>
        <v>-</v>
      </c>
      <c r="M81" s="15" t="str">
        <f t="shared" ca="1" si="4"/>
        <v>-</v>
      </c>
      <c r="N81" s="34" t="s">
        <v>71</v>
      </c>
      <c r="O81" s="32" t="s">
        <v>69</v>
      </c>
      <c r="P81" s="19"/>
      <c r="Q81" s="134" t="str">
        <f t="shared" ca="1" si="13"/>
        <v>-</v>
      </c>
      <c r="R81" t="str">
        <f ca="1">IF(AND(G81&lt;&gt;W81,G81&lt;&gt;AA81,OR(Q81=1,AND(Q81=2,COUNTIF(Q$79:Q$88,1)&lt;3),AND(Q81=3,COUNTIF(Q$79:Q$88,2)&lt;2,COUNTIF(Q$79:Q81,3)&lt;2))),"・"&amp;E81&amp;CHAR(13),"")</f>
        <v/>
      </c>
      <c r="T81" s="4"/>
      <c r="U81" s="4"/>
      <c r="V81">
        <v>2</v>
      </c>
      <c r="W81" s="70" t="str">
        <f ca="1">IF($V81="","",IF(OFFSET(選択肢パターン!B$2,$V81,0)="","",OFFSET(選択肢パターン!B$2,$V81,0)))</f>
        <v>実施済</v>
      </c>
      <c r="X81" s="70" t="str">
        <f ca="1">IF($V81="","",IF(OFFSET(選択肢パターン!C$2,$V81,0)="","",OFFSET(選択肢パターン!C$2,$V81,0)))</f>
        <v>過半で実施済</v>
      </c>
      <c r="Y81" s="70" t="str">
        <f ca="1">IF($V81="","",IF(OFFSET(選択肢パターン!D$2,$V81,0)="","",OFFSET(選択肢パターン!D$2,$V81,0)))</f>
        <v>一部実施済</v>
      </c>
      <c r="Z81" s="4" t="str">
        <f ca="1">IF($V81="","",IF(OFFSET(選択肢パターン!E$2,$V81,0)="","",OFFSET(選択肢パターン!E$2,$V81,0)))</f>
        <v>未実施</v>
      </c>
      <c r="AA81" s="4" t="str">
        <f ca="1">IF($V81="","",IF(OFFSET(選択肢パターン!F$2,$V81,0)="","",OFFSET(選択肢パターン!F$2,$V81,0)))</f>
        <v>該当なし</v>
      </c>
      <c r="AB81" s="94">
        <f ca="1">IF($V81="","",IF(OFFSET(選択肢パターン!G$2,$V81,0)="","",OFFSET(選択肢パターン!G$2,$V81,0)))</f>
        <v>1</v>
      </c>
      <c r="AC81" s="94">
        <f ca="1">IF($V81="","",IF(OFFSET(選択肢パターン!H$2,$V81,0)="","",OFFSET(選択肢パターン!H$2,$V81,0)))</f>
        <v>0.75</v>
      </c>
      <c r="AD81" s="94">
        <f ca="1">IF($V81="","",IF(OFFSET(選択肢パターン!I$2,$V81,0)="","",OFFSET(選択肢パターン!I$2,$V81,0)))</f>
        <v>0.25</v>
      </c>
      <c r="AE81" s="14">
        <f ca="1">IF($V81="","",IF(OFFSET(選択肢パターン!J$2,$V81,0)="","",OFFSET(選択肢パターン!J$2,$V81,0)))</f>
        <v>0</v>
      </c>
      <c r="AF81" s="14" t="str">
        <f ca="1">IF($V81="","",IF(OFFSET(選択肢パターン!K$2,$V81,0)="","",OFFSET(選択肢パターン!K$2,$V81,0)))</f>
        <v/>
      </c>
    </row>
    <row r="82" spans="2:32">
      <c r="B82" s="263"/>
      <c r="C82" s="256"/>
      <c r="D82" s="3">
        <v>64</v>
      </c>
      <c r="E82" s="505" t="str">
        <f>VLOOKUP($D82,削減率設定!$C$5:$P$74,2,FALSE)</f>
        <v>事務用機器の集約による台数削減</v>
      </c>
      <c r="F82" s="5" t="str">
        <f>VLOOKUP($D82,削減率設定!$C$5:$P$74,3,FALSE)</f>
        <v>台数削減､複合機の採用</v>
      </c>
      <c r="G82" s="105" t="str">
        <f>IF(対策チェック!AH89="","",対策チェック!AH89)</f>
        <v/>
      </c>
      <c r="I82" s="82" t="str">
        <f t="shared" ca="1" si="2"/>
        <v/>
      </c>
      <c r="J82" s="512">
        <f ca="1">IF(IFERROR(OFFSET(削減率設定!$O$3,MATCH($D82,削減率設定!$C$5:$C$74,0)+1,0),0)=0,"-",OFFSET(削減率設定!$O$3,MATCH($D82,削減率設定!$C$5:$C$74,0)+1,0))</f>
        <v>0.01</v>
      </c>
      <c r="K82" s="197">
        <f ca="1">IFERROR(VLOOKUP(O82,エネルギーシェア!$B$4:$I$23,MATCH("選択中",エネルギーシェア!$B$2:$I$2,0),FALSE)/100,0)+IFERROR(VLOOKUP(P82,エネルギーシェア!$B$4:$I$23,MATCH("選択中",エネルギーシェア!$B$2:$I$2,0),FALSE)/100,0)</f>
        <v>0.184</v>
      </c>
      <c r="L82" s="54" t="str">
        <f t="shared" ca="1" si="3"/>
        <v>-</v>
      </c>
      <c r="M82" s="15" t="str">
        <f t="shared" ca="1" si="4"/>
        <v>-</v>
      </c>
      <c r="N82" s="34" t="s">
        <v>71</v>
      </c>
      <c r="O82" s="32" t="s">
        <v>69</v>
      </c>
      <c r="P82" s="19"/>
      <c r="Q82" s="134" t="str">
        <f t="shared" ca="1" si="13"/>
        <v>-</v>
      </c>
      <c r="R82" t="str">
        <f ca="1">IF(AND(G82&lt;&gt;W82,G82&lt;&gt;AA82,OR(Q82=1,AND(Q82=2,COUNTIF(Q$79:Q$88,1)&lt;3),AND(Q82=3,COUNTIF(Q$79:Q$88,2)&lt;2,COUNTIF(Q$79:Q82,3)&lt;2))),"・"&amp;E82&amp;CHAR(13),"")</f>
        <v/>
      </c>
      <c r="T82" s="4"/>
      <c r="U82" s="4"/>
      <c r="V82">
        <v>2</v>
      </c>
      <c r="W82" s="70" t="str">
        <f ca="1">IF($V82="","",IF(OFFSET(選択肢パターン!B$2,$V82,0)="","",OFFSET(選択肢パターン!B$2,$V82,0)))</f>
        <v>実施済</v>
      </c>
      <c r="X82" s="70" t="str">
        <f ca="1">IF($V82="","",IF(OFFSET(選択肢パターン!C$2,$V82,0)="","",OFFSET(選択肢パターン!C$2,$V82,0)))</f>
        <v>過半で実施済</v>
      </c>
      <c r="Y82" s="70" t="str">
        <f ca="1">IF($V82="","",IF(OFFSET(選択肢パターン!D$2,$V82,0)="","",OFFSET(選択肢パターン!D$2,$V82,0)))</f>
        <v>一部実施済</v>
      </c>
      <c r="Z82" s="4" t="str">
        <f ca="1">IF($V82="","",IF(OFFSET(選択肢パターン!E$2,$V82,0)="","",OFFSET(選択肢パターン!E$2,$V82,0)))</f>
        <v>未実施</v>
      </c>
      <c r="AA82" s="4" t="str">
        <f ca="1">IF($V82="","",IF(OFFSET(選択肢パターン!F$2,$V82,0)="","",OFFSET(選択肢パターン!F$2,$V82,0)))</f>
        <v>該当なし</v>
      </c>
      <c r="AB82" s="94">
        <f ca="1">IF($V82="","",IF(OFFSET(選択肢パターン!G$2,$V82,0)="","",OFFSET(選択肢パターン!G$2,$V82,0)))</f>
        <v>1</v>
      </c>
      <c r="AC82" s="94">
        <f ca="1">IF($V82="","",IF(OFFSET(選択肢パターン!H$2,$V82,0)="","",OFFSET(選択肢パターン!H$2,$V82,0)))</f>
        <v>0.75</v>
      </c>
      <c r="AD82" s="94">
        <f ca="1">IF($V82="","",IF(OFFSET(選択肢パターン!I$2,$V82,0)="","",OFFSET(選択肢パターン!I$2,$V82,0)))</f>
        <v>0.25</v>
      </c>
      <c r="AE82" s="14">
        <f ca="1">IF($V82="","",IF(OFFSET(選択肢パターン!J$2,$V82,0)="","",OFFSET(選択肢パターン!J$2,$V82,0)))</f>
        <v>0</v>
      </c>
      <c r="AF82" s="14" t="str">
        <f ca="1">IF($V82="","",IF(OFFSET(選択肢パターン!K$2,$V82,0)="","",OFFSET(選択肢パターン!K$2,$V82,0)))</f>
        <v/>
      </c>
    </row>
    <row r="83" spans="2:32" ht="24">
      <c r="B83" s="264" t="s">
        <v>345</v>
      </c>
      <c r="C83" s="266">
        <f ca="1">SUM(L79:L88)</f>
        <v>0</v>
      </c>
      <c r="D83" s="3">
        <v>65</v>
      </c>
      <c r="E83" s="505" t="str">
        <f>VLOOKUP($D83,削減率設定!$C$5:$P$74,2,FALSE)</f>
        <v>不用な機器の電源オフ</v>
      </c>
      <c r="F83" s="5" t="str">
        <f>VLOOKUP($D83,削減率設定!$C$5:$P$74,3,FALSE)</f>
        <v>ルールの設定､周知､点検</v>
      </c>
      <c r="G83" s="105" t="str">
        <f>IF(対策チェック!AH90="","",対策チェック!AH90)</f>
        <v/>
      </c>
      <c r="I83" s="82" t="str">
        <f t="shared" ca="1" si="2"/>
        <v/>
      </c>
      <c r="J83" s="512">
        <f ca="1">IF(IFERROR(OFFSET(削減率設定!$O$3,MATCH($D83,削減率設定!$C$5:$C$74,0)+1,0),0)=0,"-",OFFSET(削減率設定!$O$3,MATCH($D83,削減率設定!$C$5:$C$74,0)+1,0))</f>
        <v>0.01</v>
      </c>
      <c r="K83" s="197">
        <f ca="1">IFERROR(VLOOKUP(O83,エネルギーシェア!$B$4:$I$23,MATCH("選択中",エネルギーシェア!$B$2:$I$2,0),FALSE)/100,0)+IFERROR(VLOOKUP(P83,エネルギーシェア!$B$4:$I$23,MATCH("選択中",エネルギーシェア!$B$2:$I$2,0),FALSE)/100,0)</f>
        <v>0.184</v>
      </c>
      <c r="L83" s="54" t="str">
        <f t="shared" ca="1" si="3"/>
        <v>-</v>
      </c>
      <c r="M83" s="15" t="str">
        <f t="shared" ca="1" si="4"/>
        <v>-</v>
      </c>
      <c r="N83" s="34" t="s">
        <v>71</v>
      </c>
      <c r="O83" s="32" t="s">
        <v>69</v>
      </c>
      <c r="P83" s="19"/>
      <c r="Q83" s="134" t="str">
        <f t="shared" ca="1" si="13"/>
        <v>-</v>
      </c>
      <c r="R83" t="str">
        <f ca="1">IF(AND(G83&lt;&gt;W83,G83&lt;&gt;AA83,OR(Q83=1,AND(Q83=2,COUNTIF(Q$79:Q$88,1)&lt;3),AND(Q83=3,COUNTIF(Q$79:Q$88,2)&lt;2,COUNTIF(Q$79:Q83,3)&lt;2))),"・"&amp;E83&amp;CHAR(13),"")</f>
        <v/>
      </c>
      <c r="T83" s="4"/>
      <c r="U83" s="4"/>
      <c r="V83">
        <v>2</v>
      </c>
      <c r="W83" s="70" t="str">
        <f ca="1">IF($V83="","",IF(OFFSET(選択肢パターン!B$2,$V83,0)="","",OFFSET(選択肢パターン!B$2,$V83,0)))</f>
        <v>実施済</v>
      </c>
      <c r="X83" s="70" t="str">
        <f ca="1">IF($V83="","",IF(OFFSET(選択肢パターン!C$2,$V83,0)="","",OFFSET(選択肢パターン!C$2,$V83,0)))</f>
        <v>過半で実施済</v>
      </c>
      <c r="Y83" s="70" t="str">
        <f ca="1">IF($V83="","",IF(OFFSET(選択肢パターン!D$2,$V83,0)="","",OFFSET(選択肢パターン!D$2,$V83,0)))</f>
        <v>一部実施済</v>
      </c>
      <c r="Z83" s="4" t="str">
        <f ca="1">IF($V83="","",IF(OFFSET(選択肢パターン!E$2,$V83,0)="","",OFFSET(選択肢パターン!E$2,$V83,0)))</f>
        <v>未実施</v>
      </c>
      <c r="AA83" s="4" t="str">
        <f ca="1">IF($V83="","",IF(OFFSET(選択肢パターン!F$2,$V83,0)="","",OFFSET(選択肢パターン!F$2,$V83,0)))</f>
        <v>該当なし</v>
      </c>
      <c r="AB83" s="94">
        <f ca="1">IF($V83="","",IF(OFFSET(選択肢パターン!G$2,$V83,0)="","",OFFSET(選択肢パターン!G$2,$V83,0)))</f>
        <v>1</v>
      </c>
      <c r="AC83" s="94">
        <f ca="1">IF($V83="","",IF(OFFSET(選択肢パターン!H$2,$V83,0)="","",OFFSET(選択肢パターン!H$2,$V83,0)))</f>
        <v>0.75</v>
      </c>
      <c r="AD83" s="94">
        <f ca="1">IF($V83="","",IF(OFFSET(選択肢パターン!I$2,$V83,0)="","",OFFSET(選択肢パターン!I$2,$V83,0)))</f>
        <v>0.25</v>
      </c>
      <c r="AE83" s="14">
        <f ca="1">IF($V83="","",IF(OFFSET(選択肢パターン!J$2,$V83,0)="","",OFFSET(選択肢パターン!J$2,$V83,0)))</f>
        <v>0</v>
      </c>
      <c r="AF83" s="14" t="str">
        <f ca="1">IF($V83="","",IF(OFFSET(選択肢パターン!K$2,$V83,0)="","",OFFSET(選択肢パターン!K$2,$V83,0)))</f>
        <v/>
      </c>
    </row>
    <row r="84" spans="2:32" ht="37.5">
      <c r="B84" s="254" t="s">
        <v>349</v>
      </c>
      <c r="C84" s="267">
        <f ca="1">SUM(M79:M88)</f>
        <v>0</v>
      </c>
      <c r="D84" s="3">
        <v>66</v>
      </c>
      <c r="E84" s="505" t="str">
        <f>VLOOKUP($D84,削減率設定!$C$5:$P$74,2,FALSE)</f>
        <v>サーバー室、エリアの空調温度の適正化</v>
      </c>
      <c r="F84" s="5" t="str">
        <f>VLOOKUP($D84,削減率設定!$C$5:$P$74,3,FALSE)</f>
        <v>サーバーの動作保証温度に合わせて設定</v>
      </c>
      <c r="G84" s="105" t="str">
        <f>IF(対策チェック!AH91="","",対策チェック!AH91)</f>
        <v/>
      </c>
      <c r="I84" s="82" t="str">
        <f t="shared" ref="I84:I88" ca="1" si="14">IFERROR(IF($G84="該当なし","",OFFSET($AB84,0,MATCH($G84,$W84:$AA84,0)-1)),"")</f>
        <v/>
      </c>
      <c r="J84" s="512">
        <f ca="1">IF(IFERROR(OFFSET(削減率設定!$O$3,MATCH($D84,削減率設定!$C$5:$C$74,0)+1,0),0)=0,"-",OFFSET(削減率設定!$O$3,MATCH($D84,削減率設定!$C$5:$C$74,0)+1,0))</f>
        <v>0.03</v>
      </c>
      <c r="K84" s="197">
        <f ca="1">IFERROR(VLOOKUP(O84,エネルギーシェア!$B$4:$I$23,MATCH("選択中",エネルギーシェア!$B$2:$I$2,0),FALSE)/100,0)+IFERROR(VLOOKUP(P84,エネルギーシェア!$B$4:$I$23,MATCH("選択中",エネルギーシェア!$B$2:$I$2,0),FALSE)/100,0)</f>
        <v>0.45200000000000001</v>
      </c>
      <c r="L84" s="54" t="str">
        <f t="shared" ref="L84:L88" ca="1" si="15">IF(COUNTIF(O84:P84,"なし")&gt;0,"-",IFERROR(IF(AND($L$10="○",J84*K84*(1-I84)&gt;0,J84*K84*(1-I84)&lt;$L$11),$L$11,J84*K84*(1-I84)),"-"))</f>
        <v>-</v>
      </c>
      <c r="M84" s="15" t="str">
        <f t="shared" ref="M84:M88" ca="1" si="16">IF(AND(COUNTIF(O84:P84,"給排水")=1,$L$13=""),"-",IFERROR(D$9*L84,"-"))</f>
        <v>-</v>
      </c>
      <c r="N84" s="34" t="s">
        <v>71</v>
      </c>
      <c r="O84" s="32" t="s">
        <v>660</v>
      </c>
      <c r="P84" s="19"/>
      <c r="Q84" s="134" t="str">
        <f t="shared" ca="1" si="13"/>
        <v>-</v>
      </c>
      <c r="R84" t="str">
        <f ca="1">IF(AND(G84&lt;&gt;W84,G84&lt;&gt;AA84,OR(Q84=1,AND(Q84=2,COUNTIF(Q$79:Q$88,1)&lt;3),AND(Q84=3,COUNTIF(Q$79:Q$88,2)&lt;2,COUNTIF(Q$79:Q84,3)&lt;2))),"・"&amp;E84&amp;CHAR(13),"")</f>
        <v/>
      </c>
      <c r="T84" s="4"/>
      <c r="U84" s="4"/>
      <c r="V84">
        <v>2</v>
      </c>
      <c r="W84" s="70" t="str">
        <f ca="1">IF($V84="","",IF(OFFSET(選択肢パターン!B$2,$V84,0)="","",OFFSET(選択肢パターン!B$2,$V84,0)))</f>
        <v>実施済</v>
      </c>
      <c r="X84" s="70" t="str">
        <f ca="1">IF($V84="","",IF(OFFSET(選択肢パターン!C$2,$V84,0)="","",OFFSET(選択肢パターン!C$2,$V84,0)))</f>
        <v>過半で実施済</v>
      </c>
      <c r="Y84" s="70" t="str">
        <f ca="1">IF($V84="","",IF(OFFSET(選択肢パターン!D$2,$V84,0)="","",OFFSET(選択肢パターン!D$2,$V84,0)))</f>
        <v>一部実施済</v>
      </c>
      <c r="Z84" s="4" t="str">
        <f ca="1">IF($V84="","",IF(OFFSET(選択肢パターン!E$2,$V84,0)="","",OFFSET(選択肢パターン!E$2,$V84,0)))</f>
        <v>未実施</v>
      </c>
      <c r="AA84" s="4" t="str">
        <f ca="1">IF($V84="","",IF(OFFSET(選択肢パターン!F$2,$V84,0)="","",OFFSET(選択肢パターン!F$2,$V84,0)))</f>
        <v>該当なし</v>
      </c>
      <c r="AB84" s="94">
        <f ca="1">IF($V84="","",IF(OFFSET(選択肢パターン!G$2,$V84,0)="","",OFFSET(選択肢パターン!G$2,$V84,0)))</f>
        <v>1</v>
      </c>
      <c r="AC84" s="94">
        <f ca="1">IF($V84="","",IF(OFFSET(選択肢パターン!H$2,$V84,0)="","",OFFSET(選択肢パターン!H$2,$V84,0)))</f>
        <v>0.75</v>
      </c>
      <c r="AD84" s="94">
        <f ca="1">IF($V84="","",IF(OFFSET(選択肢パターン!I$2,$V84,0)="","",OFFSET(選択肢パターン!I$2,$V84,0)))</f>
        <v>0.25</v>
      </c>
      <c r="AE84" s="14">
        <f ca="1">IF($V84="","",IF(OFFSET(選択肢パターン!J$2,$V84,0)="","",OFFSET(選択肢パターン!J$2,$V84,0)))</f>
        <v>0</v>
      </c>
      <c r="AF84" s="14" t="str">
        <f ca="1">IF($V84="","",IF(OFFSET(選択肢パターン!K$2,$V84,0)="","",OFFSET(選択肢パターン!K$2,$V84,0)))</f>
        <v/>
      </c>
    </row>
    <row r="85" spans="2:32" ht="37.5">
      <c r="B85" s="254" t="s">
        <v>350</v>
      </c>
      <c r="C85" s="359">
        <f ca="1">10*SUM(I79:I88)/(10-COUNTIF(G79:G88,"該当なし"))</f>
        <v>0</v>
      </c>
      <c r="D85" s="3">
        <v>67</v>
      </c>
      <c r="E85" s="505" t="str">
        <f>VLOOKUP($D85,削減率設定!$C$5:$P$74,2,FALSE)</f>
        <v>ブラインド類の運用の適正化</v>
      </c>
      <c r="F85" s="5" t="str">
        <f>VLOOKUP($D85,削減率設定!$C$5:$P$74,3,FALSE)</f>
        <v>ルールの設定､周知､点検（例：夏季日中や冬季帰宅時は閉）</v>
      </c>
      <c r="G85" s="105" t="str">
        <f>IF(対策チェック!AH92="","",対策チェック!AH92)</f>
        <v/>
      </c>
      <c r="I85" s="82" t="str">
        <f t="shared" ca="1" si="14"/>
        <v/>
      </c>
      <c r="J85" s="512">
        <f ca="1">IF(IFERROR(OFFSET(削減率設定!$O$3,MATCH($D85,削減率設定!$C$5:$C$74,0)+1,0),0)=0,"-",OFFSET(削減率設定!$O$3,MATCH($D85,削減率設定!$C$5:$C$74,0)+1,0))</f>
        <v>8.0000000000000002E-3</v>
      </c>
      <c r="K85" s="197">
        <f ca="1">IFERROR(VLOOKUP(O85,エネルギーシェア!$B$4:$I$23,MATCH("選択中",エネルギーシェア!$B$2:$I$2,0),FALSE)/100,0)+IFERROR(VLOOKUP(P85,エネルギーシェア!$B$4:$I$23,MATCH("選択中",エネルギーシェア!$B$2:$I$2,0),FALSE)/100,0)</f>
        <v>0.05</v>
      </c>
      <c r="L85" s="54" t="str">
        <f t="shared" ca="1" si="15"/>
        <v>-</v>
      </c>
      <c r="M85" s="15" t="str">
        <f t="shared" ca="1" si="16"/>
        <v>-</v>
      </c>
      <c r="N85" s="34" t="s">
        <v>71</v>
      </c>
      <c r="O85" s="32" t="s">
        <v>658</v>
      </c>
      <c r="P85" s="19"/>
      <c r="Q85" s="134" t="str">
        <f t="shared" ca="1" si="13"/>
        <v>-</v>
      </c>
      <c r="R85" t="str">
        <f ca="1">IF(AND(G85&lt;&gt;W85,G85&lt;&gt;AA85,OR(Q85=1,AND(Q85=2,COUNTIF(Q$79:Q$88,1)&lt;3),AND(Q85=3,COUNTIF(Q$79:Q$88,2)&lt;2,COUNTIF(Q$79:Q85,3)&lt;2))),"・"&amp;E85&amp;CHAR(13),"")</f>
        <v/>
      </c>
      <c r="T85" s="4"/>
      <c r="U85" s="4"/>
      <c r="V85">
        <v>2</v>
      </c>
      <c r="W85" s="70" t="str">
        <f ca="1">IF($V85="","",IF(OFFSET(選択肢パターン!B$2,$V85,0)="","",OFFSET(選択肢パターン!B$2,$V85,0)))</f>
        <v>実施済</v>
      </c>
      <c r="X85" s="70" t="str">
        <f ca="1">IF($V85="","",IF(OFFSET(選択肢パターン!C$2,$V85,0)="","",OFFSET(選択肢パターン!C$2,$V85,0)))</f>
        <v>過半で実施済</v>
      </c>
      <c r="Y85" s="70" t="str">
        <f ca="1">IF($V85="","",IF(OFFSET(選択肢パターン!D$2,$V85,0)="","",OFFSET(選択肢パターン!D$2,$V85,0)))</f>
        <v>一部実施済</v>
      </c>
      <c r="Z85" s="4" t="str">
        <f ca="1">IF($V85="","",IF(OFFSET(選択肢パターン!E$2,$V85,0)="","",OFFSET(選択肢パターン!E$2,$V85,0)))</f>
        <v>未実施</v>
      </c>
      <c r="AA85" s="4" t="str">
        <f ca="1">IF($V85="","",IF(OFFSET(選択肢パターン!F$2,$V85,0)="","",OFFSET(選択肢パターン!F$2,$V85,0)))</f>
        <v>該当なし</v>
      </c>
      <c r="AB85" s="94">
        <f ca="1">IF($V85="","",IF(OFFSET(選択肢パターン!G$2,$V85,0)="","",OFFSET(選択肢パターン!G$2,$V85,0)))</f>
        <v>1</v>
      </c>
      <c r="AC85" s="94">
        <f ca="1">IF($V85="","",IF(OFFSET(選択肢パターン!H$2,$V85,0)="","",OFFSET(選択肢パターン!H$2,$V85,0)))</f>
        <v>0.75</v>
      </c>
      <c r="AD85" s="94">
        <f ca="1">IF($V85="","",IF(OFFSET(選択肢パターン!I$2,$V85,0)="","",OFFSET(選択肢パターン!I$2,$V85,0)))</f>
        <v>0.25</v>
      </c>
      <c r="AE85" s="14">
        <f ca="1">IF($V85="","",IF(OFFSET(選択肢パターン!J$2,$V85,0)="","",OFFSET(選択肢パターン!J$2,$V85,0)))</f>
        <v>0</v>
      </c>
      <c r="AF85" s="14" t="str">
        <f ca="1">IF($V85="","",IF(OFFSET(選択肢パターン!K$2,$V85,0)="","",OFFSET(選択肢パターン!K$2,$V85,0)))</f>
        <v/>
      </c>
    </row>
    <row r="86" spans="2:32" ht="31.5">
      <c r="B86" s="1" t="s">
        <v>577</v>
      </c>
      <c r="C86" s="260" t="e">
        <f ca="1">$F$9*C84</f>
        <v>#N/A</v>
      </c>
      <c r="D86" s="3">
        <v>68</v>
      </c>
      <c r="E86" s="505" t="str">
        <f>VLOOKUP($D86,削減率設定!$C$5:$P$74,2,FALSE)</f>
        <v>照明の反射防止ルーバーの撤去</v>
      </c>
      <c r="F86" s="5" t="str">
        <f>VLOOKUP($D86,削減率設定!$C$5:$P$74,3,FALSE)</f>
        <v>反射防止ルーバーを撤去して､必要照度を確保できる範囲で間引き</v>
      </c>
      <c r="G86" s="105" t="str">
        <f>IF(対策チェック!AH93="","",対策チェック!AH93)</f>
        <v/>
      </c>
      <c r="I86" s="82" t="str">
        <f t="shared" ca="1" si="14"/>
        <v/>
      </c>
      <c r="J86" s="512">
        <f ca="1">IF(IFERROR(OFFSET(削減率設定!$O$3,MATCH($D86,削減率設定!$C$5:$C$74,0)+1,0),0)=0,"-",OFFSET(削減率設定!$O$3,MATCH($D86,削減率設定!$C$5:$C$74,0)+1,0))</f>
        <v>1.2500000000000001E-2</v>
      </c>
      <c r="K86" s="197">
        <f ca="1">IFERROR(VLOOKUP(O86,エネルギーシェア!$B$4:$I$23,MATCH("選択中",エネルギーシェア!$B$2:$I$2,0),FALSE)/100,0)+IFERROR(VLOOKUP(P86,エネルギーシェア!$B$4:$I$23,MATCH("選択中",エネルギーシェア!$B$2:$I$2,0),FALSE)/100,0)</f>
        <v>0.20200000000000004</v>
      </c>
      <c r="L86" s="54" t="str">
        <f t="shared" ca="1" si="15"/>
        <v>-</v>
      </c>
      <c r="M86" s="15" t="str">
        <f t="shared" ca="1" si="16"/>
        <v>-</v>
      </c>
      <c r="N86" s="34" t="s">
        <v>71</v>
      </c>
      <c r="O86" s="32" t="s">
        <v>50</v>
      </c>
      <c r="P86" s="19"/>
      <c r="Q86" s="134" t="str">
        <f t="shared" ca="1" si="13"/>
        <v>-</v>
      </c>
      <c r="R86" t="str">
        <f ca="1">IF(AND(G86&lt;&gt;W86,G86&lt;&gt;AA86,OR(Q86=1,AND(Q86=2,COUNTIF(Q$79:Q$88,1)&lt;3),AND(Q86=3,COUNTIF(Q$79:Q$88,2)&lt;2,COUNTIF(Q$79:Q86,3)&lt;2))),"・"&amp;E86&amp;CHAR(13),"")</f>
        <v/>
      </c>
      <c r="T86" s="4"/>
      <c r="U86" s="4"/>
      <c r="V86">
        <v>2</v>
      </c>
      <c r="W86" s="70" t="str">
        <f ca="1">IF($V86="","",IF(OFFSET(選択肢パターン!B$2,$V86,0)="","",OFFSET(選択肢パターン!B$2,$V86,0)))</f>
        <v>実施済</v>
      </c>
      <c r="X86" s="70" t="str">
        <f ca="1">IF($V86="","",IF(OFFSET(選択肢パターン!C$2,$V86,0)="","",OFFSET(選択肢パターン!C$2,$V86,0)))</f>
        <v>過半で実施済</v>
      </c>
      <c r="Y86" s="70" t="str">
        <f ca="1">IF($V86="","",IF(OFFSET(選択肢パターン!D$2,$V86,0)="","",OFFSET(選択肢パターン!D$2,$V86,0)))</f>
        <v>一部実施済</v>
      </c>
      <c r="Z86" s="4" t="str">
        <f ca="1">IF($V86="","",IF(OFFSET(選択肢パターン!E$2,$V86,0)="","",OFFSET(選択肢パターン!E$2,$V86,0)))</f>
        <v>未実施</v>
      </c>
      <c r="AA86" s="4" t="str">
        <f ca="1">IF($V86="","",IF(OFFSET(選択肢パターン!F$2,$V86,0)="","",OFFSET(選択肢パターン!F$2,$V86,0)))</f>
        <v>該当なし</v>
      </c>
      <c r="AB86" s="94">
        <f ca="1">IF($V86="","",IF(OFFSET(選択肢パターン!G$2,$V86,0)="","",OFFSET(選択肢パターン!G$2,$V86,0)))</f>
        <v>1</v>
      </c>
      <c r="AC86" s="94">
        <f ca="1">IF($V86="","",IF(OFFSET(選択肢パターン!H$2,$V86,0)="","",OFFSET(選択肢パターン!H$2,$V86,0)))</f>
        <v>0.75</v>
      </c>
      <c r="AD86" s="94">
        <f ca="1">IF($V86="","",IF(OFFSET(選択肢パターン!I$2,$V86,0)="","",OFFSET(選択肢パターン!I$2,$V86,0)))</f>
        <v>0.25</v>
      </c>
      <c r="AE86" s="14">
        <f ca="1">IF($V86="","",IF(OFFSET(選択肢パターン!J$2,$V86,0)="","",OFFSET(選択肢パターン!J$2,$V86,0)))</f>
        <v>0</v>
      </c>
      <c r="AF86" s="14" t="str">
        <f ca="1">IF($V86="","",IF(OFFSET(選択肢パターン!K$2,$V86,0)="","",OFFSET(選択肢パターン!K$2,$V86,0)))</f>
        <v/>
      </c>
    </row>
    <row r="87" spans="2:32" ht="31.5">
      <c r="B87" s="263"/>
      <c r="C87" s="256"/>
      <c r="D87" s="3">
        <v>69</v>
      </c>
      <c r="E87" s="505" t="str">
        <f>VLOOKUP($D87,削減率設定!$C$5:$P$74,2,FALSE)</f>
        <v>自動販売機の節電</v>
      </c>
      <c r="F87" s="5" t="str">
        <f>VLOOKUP($D87,削減率設定!$C$5:$P$74,3,FALSE)</f>
        <v>消灯､最新機種への更新（例：ヒートポンプ方式等の省エネ技術が採用されている機種に更新）</v>
      </c>
      <c r="G87" s="105" t="str">
        <f>IF(対策チェック!AH94="","",対策チェック!AH94)</f>
        <v/>
      </c>
      <c r="I87" s="82" t="str">
        <f t="shared" ca="1" si="14"/>
        <v/>
      </c>
      <c r="J87" s="512">
        <f ca="1">IF(IFERROR(OFFSET(削減率設定!$O$3,MATCH($D87,削減率設定!$C$5:$C$74,0)+1,0),0)=0,"-",OFFSET(削減率設定!$O$3,MATCH($D87,削減率設定!$C$5:$C$74,0)+1,0))</f>
        <v>2E-3</v>
      </c>
      <c r="K87" s="197">
        <f>IFERROR(VLOOKUP(O87,エネルギーシェア!$B$4:$I$23,MATCH("選択中",エネルギーシェア!$B$2:$I$2,0),FALSE)/100,0)+IFERROR(VLOOKUP(P87,エネルギーシェア!$B$4:$I$23,MATCH("選択中",エネルギーシェア!$B$2:$I$2,0),FALSE)/100,0)</f>
        <v>1</v>
      </c>
      <c r="L87" s="54" t="str">
        <f t="shared" ca="1" si="15"/>
        <v>-</v>
      </c>
      <c r="M87" s="15" t="str">
        <f t="shared" ca="1" si="16"/>
        <v>-</v>
      </c>
      <c r="N87" s="34" t="s">
        <v>71</v>
      </c>
      <c r="O87" s="32" t="s">
        <v>56</v>
      </c>
      <c r="P87" s="19"/>
      <c r="Q87" s="134" t="str">
        <f t="shared" ca="1" si="13"/>
        <v>-</v>
      </c>
      <c r="R87" t="str">
        <f ca="1">IF(AND(G87&lt;&gt;W87,G87&lt;&gt;AA87,OR(Q87=1,AND(Q87=2,COUNTIF(Q$79:Q$88,1)&lt;3),AND(Q87=3,COUNTIF(Q$79:Q$88,2)&lt;2,COUNTIF(Q$79:Q87,3)&lt;2))),"・"&amp;E87&amp;CHAR(13),"")</f>
        <v/>
      </c>
      <c r="T87" s="4"/>
      <c r="U87" s="4"/>
      <c r="V87">
        <v>2</v>
      </c>
      <c r="W87" s="70" t="str">
        <f ca="1">IF($V87="","",IF(OFFSET(選択肢パターン!B$2,$V87,0)="","",OFFSET(選択肢パターン!B$2,$V87,0)))</f>
        <v>実施済</v>
      </c>
      <c r="X87" s="70" t="str">
        <f ca="1">IF($V87="","",IF(OFFSET(選択肢パターン!C$2,$V87,0)="","",OFFSET(選択肢パターン!C$2,$V87,0)))</f>
        <v>過半で実施済</v>
      </c>
      <c r="Y87" s="70" t="str">
        <f ca="1">IF($V87="","",IF(OFFSET(選択肢パターン!D$2,$V87,0)="","",OFFSET(選択肢パターン!D$2,$V87,0)))</f>
        <v>一部実施済</v>
      </c>
      <c r="Z87" s="4" t="str">
        <f ca="1">IF($V87="","",IF(OFFSET(選択肢パターン!E$2,$V87,0)="","",OFFSET(選択肢パターン!E$2,$V87,0)))</f>
        <v>未実施</v>
      </c>
      <c r="AA87" s="4" t="str">
        <f ca="1">IF($V87="","",IF(OFFSET(選択肢パターン!F$2,$V87,0)="","",OFFSET(選択肢パターン!F$2,$V87,0)))</f>
        <v>該当なし</v>
      </c>
      <c r="AB87" s="94">
        <f ca="1">IF($V87="","",IF(OFFSET(選択肢パターン!G$2,$V87,0)="","",OFFSET(選択肢パターン!G$2,$V87,0)))</f>
        <v>1</v>
      </c>
      <c r="AC87" s="94">
        <f ca="1">IF($V87="","",IF(OFFSET(選択肢パターン!H$2,$V87,0)="","",OFFSET(選択肢パターン!H$2,$V87,0)))</f>
        <v>0.75</v>
      </c>
      <c r="AD87" s="94">
        <f ca="1">IF($V87="","",IF(OFFSET(選択肢パターン!I$2,$V87,0)="","",OFFSET(選択肢パターン!I$2,$V87,0)))</f>
        <v>0.25</v>
      </c>
      <c r="AE87" s="14">
        <f ca="1">IF($V87="","",IF(OFFSET(選択肢パターン!J$2,$V87,0)="","",OFFSET(選択肢パターン!J$2,$V87,0)))</f>
        <v>0</v>
      </c>
      <c r="AF87" s="14" t="str">
        <f ca="1">IF($V87="","",IF(OFFSET(選択肢パターン!K$2,$V87,0)="","",OFFSET(選択肢パターン!K$2,$V87,0)))</f>
        <v/>
      </c>
    </row>
    <row r="88" spans="2:32" ht="19.5" thickBot="1">
      <c r="B88" s="265"/>
      <c r="C88" s="261"/>
      <c r="D88" s="37">
        <v>70</v>
      </c>
      <c r="E88" s="509" t="str">
        <f>VLOOKUP($D88,削減率設定!$C$5:$P$74,2,FALSE)</f>
        <v>冬季以外の便座ヒーターの停止等</v>
      </c>
      <c r="F88" s="38" t="str">
        <f>VLOOKUP($D88,削減率設定!$C$5:$P$74,3,FALSE)</f>
        <v>冬季以外停止､加温時の設定温度「低」､ふた閉め</v>
      </c>
      <c r="G88" s="108" t="str">
        <f>IF(対策チェック!AH95="","",対策チェック!AH95)</f>
        <v/>
      </c>
      <c r="H88" s="313"/>
      <c r="I88" s="85" t="str">
        <f t="shared" ca="1" si="14"/>
        <v/>
      </c>
      <c r="J88" s="514">
        <f ca="1">IF(IFERROR(OFFSET(削減率設定!$O$3,MATCH($D88,削減率設定!$C$5:$C$74,0)+1,0),0)=0,"-",OFFSET(削減率設定!$O$3,MATCH($D88,削減率設定!$C$5:$C$74,0)+1,0))</f>
        <v>0.2</v>
      </c>
      <c r="K88" s="200">
        <f ca="1">IFERROR(VLOOKUP(O88,エネルギーシェア!$B$4:$I$23,MATCH("選択中",エネルギーシェア!$B$2:$I$2,0),FALSE)/100,0)+IFERROR(VLOOKUP(P88,エネルギーシェア!$B$4:$I$23,MATCH("選択中",エネルギーシェア!$B$2:$I$2,0),FALSE)/100,0)</f>
        <v>8.0000000000000002E-3</v>
      </c>
      <c r="L88" s="57" t="str">
        <f t="shared" ca="1" si="15"/>
        <v>-</v>
      </c>
      <c r="M88" s="39" t="str">
        <f t="shared" ca="1" si="16"/>
        <v>-</v>
      </c>
      <c r="N88" s="36" t="s">
        <v>71</v>
      </c>
      <c r="O88" s="489" t="s">
        <v>54</v>
      </c>
      <c r="P88" s="19"/>
      <c r="Q88" s="134" t="str">
        <f t="shared" ca="1" si="13"/>
        <v>-</v>
      </c>
      <c r="R88" t="str">
        <f ca="1">IF(AND(G88&lt;&gt;W88,G88&lt;&gt;AA88,OR(Q88=1,AND(Q88=2,COUNTIF(Q$79:Q$88,1)&lt;3),AND(Q88=3,COUNTIF(Q$79:Q$88,2)&lt;2,COUNTIF(Q$79:Q88,3)&lt;2))),"・"&amp;E88&amp;CHAR(13),"")</f>
        <v/>
      </c>
      <c r="T88" s="4"/>
      <c r="U88" s="4"/>
      <c r="V88">
        <v>2</v>
      </c>
      <c r="W88" s="70" t="str">
        <f ca="1">IF($V88="","",IF(OFFSET(選択肢パターン!B$2,$V88,0)="","",OFFSET(選択肢パターン!B$2,$V88,0)))</f>
        <v>実施済</v>
      </c>
      <c r="X88" s="70" t="str">
        <f ca="1">IF($V88="","",IF(OFFSET(選択肢パターン!C$2,$V88,0)="","",OFFSET(選択肢パターン!C$2,$V88,0)))</f>
        <v>過半で実施済</v>
      </c>
      <c r="Y88" s="70" t="str">
        <f ca="1">IF($V88="","",IF(OFFSET(選択肢パターン!D$2,$V88,0)="","",OFFSET(選択肢パターン!D$2,$V88,0)))</f>
        <v>一部実施済</v>
      </c>
      <c r="Z88" s="4" t="str">
        <f ca="1">IF($V88="","",IF(OFFSET(選択肢パターン!E$2,$V88,0)="","",OFFSET(選択肢パターン!E$2,$V88,0)))</f>
        <v>未実施</v>
      </c>
      <c r="AA88" s="4" t="str">
        <f ca="1">IF($V88="","",IF(OFFSET(選択肢パターン!F$2,$V88,0)="","",OFFSET(選択肢パターン!F$2,$V88,0)))</f>
        <v>該当なし</v>
      </c>
      <c r="AB88" s="94">
        <f ca="1">IF($V88="","",IF(OFFSET(選択肢パターン!G$2,$V88,0)="","",OFFSET(選択肢パターン!G$2,$V88,0)))</f>
        <v>1</v>
      </c>
      <c r="AC88" s="94">
        <f ca="1">IF($V88="","",IF(OFFSET(選択肢パターン!H$2,$V88,0)="","",OFFSET(選択肢パターン!H$2,$V88,0)))</f>
        <v>0.75</v>
      </c>
      <c r="AD88" s="94">
        <f ca="1">IF($V88="","",IF(OFFSET(選択肢パターン!I$2,$V88,0)="","",OFFSET(選択肢パターン!I$2,$V88,0)))</f>
        <v>0.25</v>
      </c>
      <c r="AE88" s="14">
        <f ca="1">IF($V88="","",IF(OFFSET(選択肢パターン!J$2,$V88,0)="","",OFFSET(選択肢パターン!J$2,$V88,0)))</f>
        <v>0</v>
      </c>
      <c r="AF88" s="14" t="str">
        <f ca="1">IF($V88="","",IF(OFFSET(選択肢パターン!K$2,$V88,0)="","",OFFSET(選択肢パターン!K$2,$V88,0)))</f>
        <v/>
      </c>
    </row>
  </sheetData>
  <mergeCells count="8">
    <mergeCell ref="B18:C18"/>
    <mergeCell ref="P1:S1"/>
    <mergeCell ref="P2:S2"/>
    <mergeCell ref="P3:S3"/>
    <mergeCell ref="P5:S5"/>
    <mergeCell ref="P6:S6"/>
    <mergeCell ref="P7:S7"/>
    <mergeCell ref="P4:R4"/>
  </mergeCells>
  <phoneticPr fontId="4"/>
  <conditionalFormatting sqref="G19:G88">
    <cfRule type="cellIs" dxfId="40" priority="9" operator="equal">
      <formula>"未実施"</formula>
    </cfRule>
    <cfRule type="cellIs" dxfId="39" priority="10" operator="equal">
      <formula>"一部実施"</formula>
    </cfRule>
    <cfRule type="cellIs" dxfId="38" priority="11" operator="equal">
      <formula>"全て実施"</formula>
    </cfRule>
  </conditionalFormatting>
  <conditionalFormatting sqref="P66 O54:P64 O67:P88">
    <cfRule type="expression" dxfId="37" priority="5">
      <formula>AND(COUNTA($O54:$P54)=2,$O54=$P54)</formula>
    </cfRule>
  </conditionalFormatting>
  <conditionalFormatting sqref="P65">
    <cfRule type="expression" dxfId="36" priority="13">
      <formula>AND(COUNTA($O66:$P66)=2,$P65=$P66)</formula>
    </cfRule>
  </conditionalFormatting>
  <conditionalFormatting sqref="O65">
    <cfRule type="expression" dxfId="35" priority="14">
      <formula>AND(COUNTA($O65:$P65)=2,$O65=#REF!)</formula>
    </cfRule>
  </conditionalFormatting>
  <conditionalFormatting sqref="O66">
    <cfRule type="expression" dxfId="34" priority="4">
      <formula>AND(COUNTA($O66:$P66)=2,$O66=#REF!)</formula>
    </cfRule>
  </conditionalFormatting>
  <dataValidations count="2">
    <dataValidation allowBlank="1" sqref="G19:G88"/>
    <dataValidation type="list" allowBlank="1" showInputMessage="1" showErrorMessage="1" sqref="L10 L13">
      <formula1>"○,"</formula1>
    </dataValidation>
  </dataValidations>
  <printOptions horizontalCentered="1"/>
  <pageMargins left="0.51181102362204722" right="0.51181102362204722" top="0.74803149606299213" bottom="0.74803149606299213" header="0.31496062992125984" footer="0.31496062992125984"/>
  <pageSetup paperSize="9" scale="56" fitToHeight="0" orientation="portrait" r:id="rId1"/>
  <rowBreaks count="1" manualBreakCount="1">
    <brk id="53" min="2" max="1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エネルギーシェア!$B$4:$B$23</xm:f>
          </x14:formula1>
          <xm:sqref>O19:P28 O54:P88</xm:sqref>
        </x14:dataValidation>
        <x14:dataValidation type="list" allowBlank="1" showInputMessage="1" showErrorMessage="1">
          <x14:formula1>
            <xm:f>エネルギーシェア!#REF!</xm:f>
          </x14:formula1>
          <xm:sqref>M12:T12</xm:sqref>
        </x14:dataValidation>
        <x14:dataValidation type="list" allowBlank="1" showInputMessage="1" showErrorMessage="1">
          <x14:formula1>
            <xm:f>エネルギーシェア!$C$3:$H$3</xm:f>
          </x14:formula1>
          <xm:sqref>C2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K27"/>
  <sheetViews>
    <sheetView zoomScaleNormal="100" workbookViewId="0">
      <pane xSplit="2" ySplit="2" topLeftCell="C18" activePane="bottomRight" state="frozen"/>
      <selection activeCell="B22" sqref="B22"/>
      <selection pane="topRight" activeCell="B22" sqref="B22"/>
      <selection pane="bottomLeft" activeCell="B22" sqref="B22"/>
      <selection pane="bottomRight" activeCell="E26" sqref="E26"/>
    </sheetView>
  </sheetViews>
  <sheetFormatPr defaultRowHeight="18.75"/>
  <cols>
    <col min="2" max="2" width="17.625" customWidth="1"/>
    <col min="4" max="4" width="13.125" customWidth="1"/>
    <col min="5" max="5" width="30.625" customWidth="1"/>
    <col min="6" max="6" width="17.875" customWidth="1"/>
    <col min="7" max="7" width="19.75" customWidth="1"/>
    <col min="8" max="8" width="19.125" customWidth="1"/>
    <col min="9" max="9" width="22.5" customWidth="1"/>
    <col min="10" max="10" width="18.125" customWidth="1"/>
    <col min="11" max="11" width="17.75" customWidth="1"/>
  </cols>
  <sheetData>
    <row r="1" spans="2:11">
      <c r="B1" t="s">
        <v>135</v>
      </c>
      <c r="F1" s="852" t="s">
        <v>70</v>
      </c>
      <c r="G1" s="852"/>
      <c r="H1" s="852" t="s">
        <v>332</v>
      </c>
      <c r="I1" s="852"/>
      <c r="J1" s="852" t="s">
        <v>351</v>
      </c>
      <c r="K1" s="852"/>
    </row>
    <row r="2" spans="2:11" ht="31.5">
      <c r="B2" s="119" t="s">
        <v>0</v>
      </c>
      <c r="C2" s="2" t="s">
        <v>1</v>
      </c>
      <c r="D2" s="2" t="s">
        <v>2</v>
      </c>
      <c r="E2" s="2" t="s">
        <v>31</v>
      </c>
      <c r="F2" s="9" t="s">
        <v>64</v>
      </c>
      <c r="G2" s="9" t="s">
        <v>65</v>
      </c>
      <c r="H2" s="9" t="s">
        <v>64</v>
      </c>
      <c r="I2" s="9" t="s">
        <v>65</v>
      </c>
      <c r="J2" s="246" t="s">
        <v>64</v>
      </c>
      <c r="K2" s="246" t="s">
        <v>65</v>
      </c>
    </row>
    <row r="3" spans="2:11">
      <c r="B3" s="113" t="s">
        <v>465</v>
      </c>
      <c r="C3" s="117">
        <v>11</v>
      </c>
      <c r="D3" s="18" t="str">
        <f>VLOOKUP($C3,削減率設定!$C$5:$P$74,2,FALSE)</f>
        <v>室内温度の適正化</v>
      </c>
      <c r="E3" s="17" t="str">
        <f>VLOOKUP($C3,削減率設定!$C$5:$P$74,3,FALSE)</f>
        <v>事務室の室温を許容範囲で緩和</v>
      </c>
      <c r="F3" s="19" t="s">
        <v>660</v>
      </c>
      <c r="G3" s="19"/>
      <c r="H3" s="19" t="s">
        <v>660</v>
      </c>
      <c r="I3" s="19"/>
      <c r="J3" s="19" t="s">
        <v>66</v>
      </c>
      <c r="K3" s="19"/>
    </row>
    <row r="4" spans="2:11" ht="31.5">
      <c r="B4" s="114" t="s">
        <v>4</v>
      </c>
      <c r="C4" s="117">
        <v>12</v>
      </c>
      <c r="D4" s="17" t="str">
        <f>VLOOKUP($C4,削減率設定!$C$5:$P$74,2,FALSE)</f>
        <v>共用部の温度設定の緩和、停止</v>
      </c>
      <c r="E4" s="17" t="str">
        <f>VLOOKUP($C4,削減率設定!$C$5:$P$74,3,FALSE)</f>
        <v>事務室より1℃緩和又は停止</v>
      </c>
      <c r="F4" s="19" t="s">
        <v>660</v>
      </c>
      <c r="G4" s="19"/>
      <c r="H4" s="19" t="s">
        <v>660</v>
      </c>
      <c r="I4" s="19"/>
      <c r="J4" s="19" t="s">
        <v>66</v>
      </c>
      <c r="K4" s="19"/>
    </row>
    <row r="5" spans="2:11" ht="31.5">
      <c r="B5" s="114"/>
      <c r="C5" s="117">
        <v>13</v>
      </c>
      <c r="D5" s="17" t="str">
        <f>VLOOKUP($C5,削減率設定!$C$5:$P$74,2,FALSE)</f>
        <v>実温度の把握と調整</v>
      </c>
      <c r="E5" s="17" t="str">
        <f>VLOOKUP($C5,削減率設定!$C$5:$P$74,3,FALSE)</f>
        <v>温度計を設置し､実際の室温の把握と設定温度を調整</v>
      </c>
      <c r="F5" s="19" t="s">
        <v>660</v>
      </c>
      <c r="G5" s="19"/>
      <c r="H5" s="19" t="s">
        <v>660</v>
      </c>
      <c r="I5" s="19"/>
      <c r="J5" s="19" t="s">
        <v>66</v>
      </c>
      <c r="K5" s="19"/>
    </row>
    <row r="6" spans="2:11" ht="31.5">
      <c r="B6" s="115"/>
      <c r="C6" s="117">
        <v>14</v>
      </c>
      <c r="D6" s="17" t="str">
        <f>VLOOKUP($C6,削減率設定!$C$5:$P$74,2,FALSE)</f>
        <v>温度分布の適正化</v>
      </c>
      <c r="E6" s="17" t="str">
        <f>VLOOKUP($C6,削減率設定!$C$5:$P$74,3,FALSE)</f>
        <v>温度分布の把握､改善（例：サーキュレーターの設置等）</v>
      </c>
      <c r="F6" s="19" t="s">
        <v>660</v>
      </c>
      <c r="G6" s="19"/>
      <c r="H6" s="19" t="s">
        <v>660</v>
      </c>
      <c r="I6" s="19"/>
      <c r="J6" s="19" t="s">
        <v>66</v>
      </c>
      <c r="K6" s="19"/>
    </row>
    <row r="7" spans="2:11" ht="47.25">
      <c r="B7" s="115"/>
      <c r="C7" s="117">
        <v>15</v>
      </c>
      <c r="D7" s="17" t="str">
        <f>VLOOKUP($C7,削減率設定!$C$5:$P$74,2,FALSE)</f>
        <v>空調機の温湿度センサー設置環境の改善</v>
      </c>
      <c r="E7" s="17" t="str">
        <f>VLOOKUP($C7,削減率設定!$C$5:$P$74,3,FALSE)</f>
        <v>センサー付近の温度ムラの確認､解消</v>
      </c>
      <c r="F7" s="19" t="s">
        <v>660</v>
      </c>
      <c r="G7" s="19"/>
      <c r="H7" s="19" t="s">
        <v>660</v>
      </c>
      <c r="I7" s="19"/>
      <c r="J7" s="19" t="s">
        <v>66</v>
      </c>
      <c r="K7" s="19"/>
    </row>
    <row r="8" spans="2:11" ht="31.5">
      <c r="B8" s="115"/>
      <c r="C8" s="117">
        <v>16</v>
      </c>
      <c r="D8" s="17" t="str">
        <f>VLOOKUP($C8,削減率設定!$C$5:$P$74,2,FALSE)</f>
        <v>出入口からの外気侵入防止</v>
      </c>
      <c r="E8" s="17" t="str">
        <f>VLOOKUP($C8,削減率設定!$C$5:$P$74,3,FALSE)</f>
        <v>出入口等の開放部分の削減</v>
      </c>
      <c r="F8" s="19" t="s">
        <v>660</v>
      </c>
      <c r="G8" s="19"/>
      <c r="H8" s="19" t="s">
        <v>660</v>
      </c>
      <c r="I8" s="19"/>
      <c r="J8" s="19" t="s">
        <v>66</v>
      </c>
      <c r="K8" s="19"/>
    </row>
    <row r="9" spans="2:11" ht="31.5">
      <c r="B9" s="115"/>
      <c r="C9" s="117">
        <v>17</v>
      </c>
      <c r="D9" s="17" t="str">
        <f>VLOOKUP($C9,削減率設定!$C$5:$P$74,2,FALSE)</f>
        <v>空調運転時間の適正化</v>
      </c>
      <c r="E9" s="17" t="str">
        <f>VLOOKUP($C9,削減率設定!$C$5:$P$74,3,FALSE)</f>
        <v>事務室の室使用時刻に合わせて起動運転､停止</v>
      </c>
      <c r="F9" s="19" t="s">
        <v>660</v>
      </c>
      <c r="G9" s="19"/>
      <c r="H9" s="19" t="s">
        <v>660</v>
      </c>
      <c r="I9" s="19"/>
      <c r="J9" s="19" t="s">
        <v>66</v>
      </c>
      <c r="K9" s="19"/>
    </row>
    <row r="10" spans="2:11" ht="31.5">
      <c r="B10" s="115"/>
      <c r="C10" s="117">
        <v>18</v>
      </c>
      <c r="D10" s="17" t="str">
        <f>VLOOKUP($C10,削減率設定!$C$5:$P$74,2,FALSE)</f>
        <v>非使用室、時間の空調停止</v>
      </c>
      <c r="E10" s="17" t="str">
        <f>VLOOKUP($C10,削減率設定!$C$5:$P$74,3,FALSE)</f>
        <v>オン・オフするルールの設定､周知､点検</v>
      </c>
      <c r="F10" s="19" t="s">
        <v>660</v>
      </c>
      <c r="G10" s="19"/>
      <c r="H10" s="19" t="s">
        <v>660</v>
      </c>
      <c r="I10" s="19"/>
      <c r="J10" s="19" t="s">
        <v>66</v>
      </c>
      <c r="K10" s="19"/>
    </row>
    <row r="11" spans="2:11" ht="31.5">
      <c r="B11" s="115"/>
      <c r="C11" s="118">
        <v>19</v>
      </c>
      <c r="D11" s="17" t="str">
        <f>VLOOKUP($C11,削減率設定!$C$5:$P$74,2,FALSE)</f>
        <v>空調運転開始時の外気導入停止</v>
      </c>
      <c r="E11" s="17" t="str">
        <f>VLOOKUP($C11,削減率設定!$C$5:$P$74,3,FALSE)</f>
        <v>始業前の外気導入を抑制又は停止</v>
      </c>
      <c r="F11" s="19" t="s">
        <v>659</v>
      </c>
      <c r="G11" s="19"/>
      <c r="H11" s="19" t="s">
        <v>659</v>
      </c>
      <c r="I11" s="19"/>
      <c r="J11" s="19" t="s">
        <v>66</v>
      </c>
      <c r="K11" s="19"/>
    </row>
    <row r="12" spans="2:11" ht="47.25">
      <c r="B12" s="116"/>
      <c r="C12" s="117">
        <v>20</v>
      </c>
      <c r="D12" s="17" t="str">
        <f>VLOOKUP($C12,削減率設定!$C$5:$P$74,2,FALSE)</f>
        <v>空調設備のフィンコイル、フィルターの清掃</v>
      </c>
      <c r="E12" s="17" t="str">
        <f>VLOOKUP($C12,削減率設定!$C$5:$P$74,3,FALSE)</f>
        <v>フィンコイル：1回/3年程度
フィルター：2回/年程度</v>
      </c>
      <c r="F12" s="19" t="s">
        <v>45</v>
      </c>
      <c r="G12" s="19"/>
      <c r="H12" s="19" t="s">
        <v>45</v>
      </c>
      <c r="I12" s="19"/>
      <c r="J12" s="19" t="s">
        <v>45</v>
      </c>
      <c r="K12" s="19"/>
    </row>
    <row r="13" spans="2:11" ht="31.5">
      <c r="B13" s="304" t="s">
        <v>463</v>
      </c>
      <c r="C13" s="16">
        <v>21</v>
      </c>
      <c r="D13" s="17" t="str">
        <f>VLOOKUP($C13,削減率設定!$C$5:$P$74,2,FALSE)</f>
        <v>空調スイッチの操作制限</v>
      </c>
      <c r="E13" s="17" t="str">
        <f>VLOOKUP($C13,削減率設定!$C$5:$P$74,3,FALSE)</f>
        <v>・空調スイッチの温度変更範囲を制限
・室温が管理値となる設定温度に統一</v>
      </c>
      <c r="F13" s="19" t="s">
        <v>660</v>
      </c>
      <c r="G13" s="19"/>
      <c r="H13" s="19" t="s">
        <v>660</v>
      </c>
      <c r="I13" s="19"/>
      <c r="J13" s="19" t="s">
        <v>62</v>
      </c>
      <c r="K13" s="19"/>
    </row>
    <row r="14" spans="2:11" ht="47.25">
      <c r="B14" s="114"/>
      <c r="C14" s="16">
        <v>22</v>
      </c>
      <c r="D14" s="17" t="str">
        <f>VLOOKUP($C14,削減率設定!$C$5:$P$74,2,FALSE)</f>
        <v>空調の範囲、オン・オフのルールを明確化</v>
      </c>
      <c r="E14" s="17" t="str">
        <f>VLOOKUP($C14,削減率設定!$C$5:$P$74,3,FALSE)</f>
        <v>空調スイッチ付近に空調範囲図､オン・オフのルールを表示</v>
      </c>
      <c r="F14" s="19" t="s">
        <v>45</v>
      </c>
      <c r="G14" s="19"/>
      <c r="H14" s="19" t="s">
        <v>45</v>
      </c>
      <c r="I14" s="19"/>
      <c r="J14" s="19" t="s">
        <v>62</v>
      </c>
      <c r="K14" s="19"/>
    </row>
    <row r="15" spans="2:11" ht="31.5">
      <c r="B15" s="115"/>
      <c r="C15" s="40">
        <v>23</v>
      </c>
      <c r="D15" s="81" t="str">
        <f>VLOOKUP($C15,削減率設定!$C$5:$P$74,2,FALSE)</f>
        <v>パッケージ形空調機の風量調整</v>
      </c>
      <c r="E15" s="17" t="str">
        <f>VLOOKUP($C15,削減率設定!$C$5:$P$74,3,FALSE)</f>
        <v>夏季は、運転効率のよい風量「強」や「自動」で運用</v>
      </c>
      <c r="F15" s="19" t="s">
        <v>45</v>
      </c>
      <c r="G15" s="19"/>
      <c r="H15" s="19" t="s">
        <v>45</v>
      </c>
      <c r="I15" s="19"/>
      <c r="J15" s="19" t="s">
        <v>62</v>
      </c>
      <c r="K15" s="19"/>
    </row>
    <row r="16" spans="2:11" ht="31.5">
      <c r="B16" s="115"/>
      <c r="C16" s="16">
        <v>24</v>
      </c>
      <c r="D16" s="17" t="str">
        <f>VLOOKUP($C16,削減率設定!$C$5:$P$74,2,FALSE)</f>
        <v>空調室外機置き場の環境整備</v>
      </c>
      <c r="E16" s="17" t="str">
        <f>VLOOKUP($C16,削減率設定!$C$5:$P$74,3,FALSE)</f>
        <v>空調室外機の設置状態を点検､改善（例：日よけ､ショートサーキット防止等）</v>
      </c>
      <c r="F16" s="19" t="s">
        <v>45</v>
      </c>
      <c r="G16" s="19"/>
      <c r="H16" s="19" t="s">
        <v>45</v>
      </c>
      <c r="I16" s="19"/>
      <c r="J16" s="19" t="s">
        <v>62</v>
      </c>
      <c r="K16" s="19"/>
    </row>
    <row r="17" spans="2:11" ht="47.25">
      <c r="B17" s="116"/>
      <c r="C17" s="16">
        <v>25</v>
      </c>
      <c r="D17" s="17" t="str">
        <f>VLOOKUP($C17,削減率設定!$C$5:$P$74,2,FALSE)</f>
        <v>パッケージ形空調機の省エネチューニングの実施</v>
      </c>
      <c r="E17" s="17" t="str">
        <f>VLOOKUP($C17,削減率設定!$C$5:$P$74,3,FALSE)</f>
        <v>メーカー等による省エネチューニングの実施(例：冷媒蒸発温度設定の調整等）</v>
      </c>
      <c r="F17" s="19" t="s">
        <v>45</v>
      </c>
      <c r="G17" s="19"/>
      <c r="H17" s="19" t="s">
        <v>45</v>
      </c>
      <c r="I17" s="19"/>
      <c r="J17" s="19" t="s">
        <v>62</v>
      </c>
      <c r="K17" s="19"/>
    </row>
    <row r="18" spans="2:11" ht="47.25">
      <c r="B18" s="305" t="s">
        <v>390</v>
      </c>
      <c r="C18" s="16">
        <v>26</v>
      </c>
      <c r="D18" s="17" t="str">
        <f>VLOOKUP($C18,削減率設定!$C$5:$P$74,2,FALSE)</f>
        <v>冷水、温水出口温度の適正化</v>
      </c>
      <c r="E18" s="17" t="str">
        <f>VLOOKUP($C18,削減率設定!$C$5:$P$74,3,FALSE)</f>
        <v>熱源機の冷温水出口温度を中間期に2～3℃緩和（例：冷水温度が夏季7℃の場合､中間期は9℃等）</v>
      </c>
      <c r="F18" s="19" t="s">
        <v>62</v>
      </c>
      <c r="G18" s="19"/>
      <c r="H18" s="19" t="s">
        <v>45</v>
      </c>
      <c r="I18" s="19"/>
      <c r="J18" s="19" t="s">
        <v>45</v>
      </c>
      <c r="K18" s="19"/>
    </row>
    <row r="19" spans="2:11" ht="31.5">
      <c r="B19" s="115"/>
      <c r="C19" s="16">
        <v>27</v>
      </c>
      <c r="D19" s="17" t="str">
        <f>VLOOKUP($C19,削減率設定!$C$5:$P$74,2,FALSE)</f>
        <v>冷却水温度の適正化</v>
      </c>
      <c r="E19" s="17" t="str">
        <f>VLOOKUP($C19,削減率設定!$C$5:$P$74,3,FALSE)</f>
        <v>冷凍機の仕様に応じた冷却水温度の設定 （冷凍機の冷却水下限温度を目安に調整）</v>
      </c>
      <c r="F19" s="19" t="s">
        <v>62</v>
      </c>
      <c r="G19" s="19"/>
      <c r="H19" s="19" t="s">
        <v>45</v>
      </c>
      <c r="I19" s="19"/>
      <c r="J19" s="19" t="s">
        <v>45</v>
      </c>
      <c r="K19" s="19"/>
    </row>
    <row r="20" spans="2:11" ht="47.25">
      <c r="B20" s="115"/>
      <c r="C20" s="40">
        <v>28</v>
      </c>
      <c r="D20" s="81" t="str">
        <f>VLOOKUP($C20,削減率設定!$C$5:$P$74,2,FALSE)</f>
        <v>熱源機の運転時間の適正化</v>
      </c>
      <c r="E20" s="17" t="str">
        <f>VLOOKUP($C20,削減率設定!$C$5:$P$74,3,FALSE)</f>
        <v>運転開始時：予熱時間の短縮
停止時： 空調停止の15分程度前に熱源機停止</v>
      </c>
      <c r="F20" s="19" t="s">
        <v>62</v>
      </c>
      <c r="G20" s="19"/>
      <c r="H20" s="19" t="s">
        <v>45</v>
      </c>
      <c r="I20" s="19"/>
      <c r="J20" s="19" t="s">
        <v>45</v>
      </c>
      <c r="K20" s="19"/>
    </row>
    <row r="21" spans="2:11" ht="31.5">
      <c r="B21" s="115"/>
      <c r="C21" s="16">
        <v>29</v>
      </c>
      <c r="D21" s="17" t="str">
        <f>VLOOKUP($C21,削減率設定!$C$5:$P$74,2,FALSE)</f>
        <v>熱源機器の運転台数の適正化</v>
      </c>
      <c r="E21" s="17" t="str">
        <f>VLOOKUP($C21,削減率設定!$C$5:$P$74,3,FALSE)</f>
        <v>空調負荷に応じた熱源機器の運転パターンの把握､調整</v>
      </c>
      <c r="F21" s="19" t="s">
        <v>62</v>
      </c>
      <c r="G21" s="19"/>
      <c r="H21" s="19" t="s">
        <v>45</v>
      </c>
      <c r="I21" s="19"/>
      <c r="J21" s="19" t="s">
        <v>45</v>
      </c>
      <c r="K21" s="19"/>
    </row>
    <row r="22" spans="2:11" ht="31.5">
      <c r="B22" s="115"/>
      <c r="C22" s="16">
        <v>30</v>
      </c>
      <c r="D22" s="17" t="str">
        <f>VLOOKUP($C22,削減率設定!$C$5:$P$74,2,FALSE)</f>
        <v>燃焼設備の空気比改善</v>
      </c>
      <c r="E22" s="17" t="str">
        <f>VLOOKUP($C22,削減率設定!$C$5:$P$74,3,FALSE)</f>
        <v>空気比を適正に管理､基準空気比以下となるように調整（基準空気比の例：1.25-1.4）</v>
      </c>
      <c r="F22" s="19" t="s">
        <v>62</v>
      </c>
      <c r="G22" s="19"/>
      <c r="H22" s="19" t="s">
        <v>45</v>
      </c>
      <c r="I22" s="19"/>
      <c r="J22" s="19" t="s">
        <v>45</v>
      </c>
      <c r="K22" s="19"/>
    </row>
    <row r="23" spans="2:11" ht="31.5">
      <c r="B23" s="115"/>
      <c r="C23" s="16">
        <v>31</v>
      </c>
      <c r="D23" s="17" t="str">
        <f>VLOOKUP($C23,削減率設定!$C$5:$P$74,2,FALSE)</f>
        <v>空調用ポンプの運転台数の適正化</v>
      </c>
      <c r="E23" s="17" t="str">
        <f>VLOOKUP($C23,削減率設定!$C$5:$P$74,3,FALSE)</f>
        <v>空調負荷に応じた空調２次ポンプの運転パターンの把握､調整</v>
      </c>
      <c r="F23" s="19" t="s">
        <v>62</v>
      </c>
      <c r="G23" s="19"/>
      <c r="H23" s="19" t="s">
        <v>47</v>
      </c>
      <c r="I23" s="19"/>
      <c r="J23" s="19" t="s">
        <v>47</v>
      </c>
      <c r="K23" s="19"/>
    </row>
    <row r="24" spans="2:11" ht="31.5">
      <c r="B24" s="115"/>
      <c r="C24" s="40">
        <v>32</v>
      </c>
      <c r="D24" s="81" t="str">
        <f>VLOOKUP($C24,削減率設定!$C$5:$P$74,2,FALSE)</f>
        <v>ポンプの流量の適正化</v>
      </c>
      <c r="E24" s="17" t="str">
        <f>VLOOKUP($C24,削減率設定!$C$5:$P$74,3,FALSE)</f>
        <v>必要流量に応じてバルブやインバータにより流量を調整</v>
      </c>
      <c r="F24" s="19" t="s">
        <v>62</v>
      </c>
      <c r="G24" s="19"/>
      <c r="H24" s="19" t="s">
        <v>47</v>
      </c>
      <c r="I24" s="19"/>
      <c r="J24" s="19" t="s">
        <v>47</v>
      </c>
      <c r="K24" s="19"/>
    </row>
    <row r="25" spans="2:11" ht="31.5">
      <c r="B25" s="115"/>
      <c r="C25" s="40">
        <v>33</v>
      </c>
      <c r="D25" s="81" t="str">
        <f>VLOOKUP($C25,削減率設定!$C$5:$P$74,2,FALSE)</f>
        <v>ファンの風量の適正化</v>
      </c>
      <c r="E25" s="17" t="str">
        <f>VLOOKUP($C25,削減率設定!$C$5:$P$74,3,FALSE)</f>
        <v>必要風量に応じてダンパやインバータにより風量を調整</v>
      </c>
      <c r="F25" s="19" t="s">
        <v>62</v>
      </c>
      <c r="G25" s="19"/>
      <c r="H25" s="19" t="s">
        <v>47</v>
      </c>
      <c r="I25" s="19"/>
      <c r="J25" s="19" t="s">
        <v>48</v>
      </c>
      <c r="K25" s="19"/>
    </row>
    <row r="26" spans="2:11" ht="47.25">
      <c r="B26" s="115"/>
      <c r="C26" s="16">
        <v>34</v>
      </c>
      <c r="D26" s="17" t="str">
        <f>VLOOKUP($C26,削減率設定!$C$5:$P$74,2,FALSE)</f>
        <v>冷温水、蒸気配管等の保温対策の徹底</v>
      </c>
      <c r="E26" s="17" t="str">
        <f>VLOOKUP($C26,削減率設定!$C$5:$P$74,3,FALSE)</f>
        <v>冷温水､蒸気の配管､バルブ､フランジ部の保温状態のチェック､改善</v>
      </c>
      <c r="F26" s="19" t="s">
        <v>62</v>
      </c>
      <c r="G26" s="19"/>
      <c r="H26" s="19" t="s">
        <v>45</v>
      </c>
      <c r="I26" s="19"/>
      <c r="J26" s="19" t="s">
        <v>45</v>
      </c>
      <c r="K26" s="19"/>
    </row>
    <row r="27" spans="2:11" ht="31.5">
      <c r="B27" s="116"/>
      <c r="C27" s="16">
        <v>35</v>
      </c>
      <c r="D27" s="17" t="str">
        <f>VLOOKUP($C27,削減率設定!$C$5:$P$74,2,FALSE)</f>
        <v>蒸気トラップの点検、補修</v>
      </c>
      <c r="E27" s="17" t="str">
        <f>VLOOKUP($C27,削減率設定!$C$5:$P$74,3,FALSE)</f>
        <v>定期的に点検､補修</v>
      </c>
      <c r="F27" s="19" t="s">
        <v>62</v>
      </c>
      <c r="G27" s="19"/>
      <c r="H27" s="19" t="s">
        <v>45</v>
      </c>
      <c r="I27" s="19"/>
      <c r="J27" s="19" t="s">
        <v>45</v>
      </c>
      <c r="K27" s="19"/>
    </row>
  </sheetData>
  <mergeCells count="3">
    <mergeCell ref="F1:G1"/>
    <mergeCell ref="H1:I1"/>
    <mergeCell ref="J1:K1"/>
  </mergeCells>
  <phoneticPr fontId="4"/>
  <conditionalFormatting sqref="F3:G27">
    <cfRule type="expression" dxfId="33" priority="36">
      <formula>AND(COUNTA($F3:$G3)=2,$F3=$G3)</formula>
    </cfRule>
  </conditionalFormatting>
  <conditionalFormatting sqref="I3:I11 H12:I12 H25:I27 H14:I23 I13">
    <cfRule type="expression" dxfId="32" priority="35">
      <formula>AND(COUNTA($H3:$I3)=2,$H3=$I3)</formula>
    </cfRule>
  </conditionalFormatting>
  <conditionalFormatting sqref="K3:K11 K19:K22 K25:K27 J12:K18">
    <cfRule type="expression" dxfId="31" priority="34">
      <formula>AND(COUNTA($H3:$I3)=2,$H3=$I3)</formula>
    </cfRule>
  </conditionalFormatting>
  <conditionalFormatting sqref="H3">
    <cfRule type="expression" dxfId="30" priority="33">
      <formula>AND(COUNTA($F3:$G3)=2,$F3=$G3)</formula>
    </cfRule>
  </conditionalFormatting>
  <conditionalFormatting sqref="J3">
    <cfRule type="expression" dxfId="29" priority="32">
      <formula>AND(COUNTA($F3:$G3)=2,$F3=$G3)</formula>
    </cfRule>
  </conditionalFormatting>
  <conditionalFormatting sqref="H4">
    <cfRule type="expression" dxfId="28" priority="31">
      <formula>AND(COUNTA($F4:$G4)=2,$F4=$G4)</formula>
    </cfRule>
  </conditionalFormatting>
  <conditionalFormatting sqref="J4">
    <cfRule type="expression" dxfId="27" priority="30">
      <formula>AND(COUNTA($F4:$G4)=2,$F4=$G4)</formula>
    </cfRule>
  </conditionalFormatting>
  <conditionalFormatting sqref="H5">
    <cfRule type="expression" dxfId="26" priority="29">
      <formula>AND(COUNTA($F5:$G5)=2,$F5=$G5)</formula>
    </cfRule>
  </conditionalFormatting>
  <conditionalFormatting sqref="J5">
    <cfRule type="expression" dxfId="25" priority="28">
      <formula>AND(COUNTA($F5:$G5)=2,$F5=$G5)</formula>
    </cfRule>
  </conditionalFormatting>
  <conditionalFormatting sqref="H6">
    <cfRule type="expression" dxfId="24" priority="27">
      <formula>AND(COUNTA($F6:$G6)=2,$F6=$G6)</formula>
    </cfRule>
  </conditionalFormatting>
  <conditionalFormatting sqref="J6">
    <cfRule type="expression" dxfId="23" priority="26">
      <formula>AND(COUNTA($F6:$G6)=2,$F6=$G6)</formula>
    </cfRule>
  </conditionalFormatting>
  <conditionalFormatting sqref="H7">
    <cfRule type="expression" dxfId="22" priority="25">
      <formula>AND(COUNTA($F7:$G7)=2,$F7=$G7)</formula>
    </cfRule>
  </conditionalFormatting>
  <conditionalFormatting sqref="J7">
    <cfRule type="expression" dxfId="21" priority="24">
      <formula>AND(COUNTA($F7:$G7)=2,$F7=$G7)</formula>
    </cfRule>
  </conditionalFormatting>
  <conditionalFormatting sqref="H8">
    <cfRule type="expression" dxfId="20" priority="23">
      <formula>AND(COUNTA($F8:$G8)=2,$F8=$G8)</formula>
    </cfRule>
  </conditionalFormatting>
  <conditionalFormatting sqref="J8">
    <cfRule type="expression" dxfId="19" priority="22">
      <formula>AND(COUNTA($F8:$G8)=2,$F8=$G8)</formula>
    </cfRule>
  </conditionalFormatting>
  <conditionalFormatting sqref="H9">
    <cfRule type="expression" dxfId="18" priority="21">
      <formula>AND(COUNTA($F9:$G9)=2,$F9=$G9)</formula>
    </cfRule>
  </conditionalFormatting>
  <conditionalFormatting sqref="J9">
    <cfRule type="expression" dxfId="17" priority="20">
      <formula>AND(COUNTA($F9:$G9)=2,$F9=$G9)</formula>
    </cfRule>
  </conditionalFormatting>
  <conditionalFormatting sqref="H10">
    <cfRule type="expression" dxfId="16" priority="19">
      <formula>AND(COUNTA($F10:$G10)=2,$F10=$G10)</formula>
    </cfRule>
  </conditionalFormatting>
  <conditionalFormatting sqref="J10">
    <cfRule type="expression" dxfId="15" priority="18">
      <formula>AND(COUNTA($F10:$G10)=2,$F10=$G10)</formula>
    </cfRule>
  </conditionalFormatting>
  <conditionalFormatting sqref="H11">
    <cfRule type="expression" dxfId="14" priority="17">
      <formula>AND(COUNTA($F11:$G11)=2,$F11=$G11)</formula>
    </cfRule>
  </conditionalFormatting>
  <conditionalFormatting sqref="J11">
    <cfRule type="expression" dxfId="13" priority="16">
      <formula>AND(COUNTA($F11:$G11)=2,$F11=$G11)</formula>
    </cfRule>
  </conditionalFormatting>
  <conditionalFormatting sqref="J20">
    <cfRule type="expression" dxfId="12" priority="14">
      <formula>AND(COUNTA($H20:$I20)=2,$H20=$I20)</formula>
    </cfRule>
  </conditionalFormatting>
  <conditionalFormatting sqref="J21">
    <cfRule type="expression" dxfId="11" priority="13">
      <formula>AND(COUNTA($H21:$I21)=2,$H21=$I21)</formula>
    </cfRule>
  </conditionalFormatting>
  <conditionalFormatting sqref="J22">
    <cfRule type="expression" dxfId="10" priority="12">
      <formula>AND(COUNTA($H22:$I22)=2,$H22=$I22)</formula>
    </cfRule>
  </conditionalFormatting>
  <conditionalFormatting sqref="J23:K23">
    <cfRule type="expression" dxfId="9" priority="11">
      <formula>AND(COUNTA($H23:$I23)=2,$H23=$I23)</formula>
    </cfRule>
  </conditionalFormatting>
  <conditionalFormatting sqref="H24:I24">
    <cfRule type="expression" dxfId="8" priority="10">
      <formula>AND(COUNTA($H24:$I24)=2,$H24=$I24)</formula>
    </cfRule>
  </conditionalFormatting>
  <conditionalFormatting sqref="J24:K24">
    <cfRule type="expression" dxfId="7" priority="9">
      <formula>AND(COUNTA($H24:$I24)=2,$H24=$I24)</formula>
    </cfRule>
  </conditionalFormatting>
  <conditionalFormatting sqref="J26">
    <cfRule type="expression" dxfId="6" priority="4">
      <formula>AND(COUNTA($H26:$I26)=2,$H26=$I26)</formula>
    </cfRule>
  </conditionalFormatting>
  <conditionalFormatting sqref="J25">
    <cfRule type="expression" dxfId="5" priority="5">
      <formula>AND(COUNTA($H25:$I25)=2,$H25=$I25)</formula>
    </cfRule>
  </conditionalFormatting>
  <conditionalFormatting sqref="J27">
    <cfRule type="expression" dxfId="4" priority="3">
      <formula>AND(COUNTA($H27:$I27)=2,$H27=$I27)</formula>
    </cfRule>
  </conditionalFormatting>
  <conditionalFormatting sqref="J19">
    <cfRule type="expression" dxfId="3" priority="2">
      <formula>AND(COUNTA($H19:$I19)=2,$H19=$I19)</formula>
    </cfRule>
  </conditionalFormatting>
  <conditionalFormatting sqref="H13">
    <cfRule type="expression" dxfId="2" priority="1">
      <formula>AND(COUNTA($F13:$G13)=2,$F13=$G13)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F3:K27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election activeCell="D10" sqref="D10"/>
    </sheetView>
  </sheetViews>
  <sheetFormatPr defaultRowHeight="18.75"/>
  <cols>
    <col min="1" max="1" width="16.25" customWidth="1"/>
    <col min="2" max="3" width="15.125" bestFit="1" customWidth="1"/>
    <col min="4" max="4" width="11" bestFit="1" customWidth="1"/>
  </cols>
  <sheetData>
    <row r="1" spans="1:11">
      <c r="A1" t="s">
        <v>112</v>
      </c>
      <c r="B1" s="319" t="s">
        <v>113</v>
      </c>
      <c r="C1" s="319"/>
      <c r="D1" s="319"/>
      <c r="E1" s="319"/>
      <c r="F1" s="319"/>
      <c r="G1" s="319" t="s">
        <v>59</v>
      </c>
      <c r="H1" s="319"/>
      <c r="I1" s="319"/>
      <c r="J1" s="319"/>
      <c r="K1" s="319"/>
    </row>
    <row r="2" spans="1:11">
      <c r="A2" s="4" t="s">
        <v>120</v>
      </c>
      <c r="B2" s="4">
        <v>1</v>
      </c>
      <c r="C2" s="4">
        <v>2</v>
      </c>
      <c r="D2" s="4">
        <v>3</v>
      </c>
      <c r="E2" s="4">
        <v>4</v>
      </c>
      <c r="F2" s="4">
        <v>5</v>
      </c>
      <c r="G2" s="4">
        <v>1</v>
      </c>
      <c r="H2" s="4">
        <v>2</v>
      </c>
      <c r="I2" s="4">
        <v>3</v>
      </c>
      <c r="J2" s="4">
        <v>4</v>
      </c>
      <c r="K2" s="4">
        <v>5</v>
      </c>
    </row>
    <row r="3" spans="1:11">
      <c r="A3" s="70">
        <v>1</v>
      </c>
      <c r="B3" s="4" t="s">
        <v>695</v>
      </c>
      <c r="C3" s="4" t="s">
        <v>696</v>
      </c>
      <c r="D3" s="4" t="s">
        <v>60</v>
      </c>
      <c r="E3" s="4"/>
      <c r="F3" s="4"/>
      <c r="G3" s="14">
        <v>1</v>
      </c>
      <c r="H3" s="14">
        <v>0.5</v>
      </c>
      <c r="I3" s="14">
        <v>0</v>
      </c>
      <c r="J3" s="14"/>
      <c r="K3" s="14"/>
    </row>
    <row r="4" spans="1:11">
      <c r="A4" s="70">
        <v>2</v>
      </c>
      <c r="B4" s="4" t="s">
        <v>695</v>
      </c>
      <c r="C4" s="4" t="s">
        <v>697</v>
      </c>
      <c r="D4" s="4" t="s">
        <v>696</v>
      </c>
      <c r="E4" s="4" t="s">
        <v>60</v>
      </c>
      <c r="F4" s="4" t="s">
        <v>467</v>
      </c>
      <c r="G4" s="14">
        <v>1</v>
      </c>
      <c r="H4" s="14">
        <v>0.75</v>
      </c>
      <c r="I4" s="14">
        <v>0.25</v>
      </c>
      <c r="J4" s="14">
        <v>0</v>
      </c>
      <c r="K4" s="14"/>
    </row>
    <row r="5" spans="1:11">
      <c r="A5" s="4">
        <v>3</v>
      </c>
      <c r="B5" s="4"/>
      <c r="C5" s="4"/>
      <c r="D5" s="4"/>
      <c r="E5" s="4"/>
      <c r="F5" s="4"/>
      <c r="G5" s="14"/>
      <c r="H5" s="14"/>
      <c r="I5" s="14"/>
      <c r="J5" s="14"/>
      <c r="K5" s="14"/>
    </row>
    <row r="6" spans="1:11">
      <c r="A6" s="4">
        <v>4</v>
      </c>
      <c r="B6" s="4"/>
      <c r="C6" s="4"/>
      <c r="D6" s="4"/>
      <c r="E6" s="4"/>
      <c r="F6" s="4"/>
      <c r="G6" s="14"/>
      <c r="H6" s="14"/>
      <c r="I6" s="14"/>
      <c r="J6" s="14"/>
      <c r="K6" s="14"/>
    </row>
    <row r="7" spans="1:11">
      <c r="A7" s="4">
        <v>5</v>
      </c>
      <c r="B7" s="4"/>
      <c r="C7" s="4"/>
      <c r="D7" s="4"/>
      <c r="E7" s="4"/>
      <c r="F7" s="4"/>
      <c r="G7" s="14"/>
      <c r="H7" s="14"/>
      <c r="I7" s="14"/>
      <c r="J7" s="14"/>
      <c r="K7" s="14"/>
    </row>
    <row r="8" spans="1:11">
      <c r="A8" s="80"/>
      <c r="B8" s="80"/>
      <c r="C8" s="80"/>
      <c r="D8" s="80"/>
      <c r="E8" s="80"/>
      <c r="F8" s="80"/>
      <c r="G8" s="80"/>
      <c r="H8" s="80"/>
      <c r="I8" s="80"/>
      <c r="J8" s="80"/>
      <c r="K8" s="80"/>
    </row>
    <row r="9" spans="1:11">
      <c r="A9" s="80"/>
      <c r="B9" s="80"/>
      <c r="C9" s="80"/>
      <c r="D9" s="80"/>
      <c r="E9" s="80"/>
      <c r="F9" s="80"/>
      <c r="G9" s="419"/>
      <c r="H9" s="419"/>
      <c r="I9" s="419"/>
      <c r="J9" s="419"/>
      <c r="K9" s="419"/>
    </row>
    <row r="10" spans="1:11">
      <c r="A10" s="80"/>
      <c r="B10" s="80"/>
      <c r="C10" s="80"/>
      <c r="D10" s="80"/>
      <c r="E10" s="80"/>
      <c r="F10" s="80"/>
      <c r="G10" s="419"/>
      <c r="H10" s="419"/>
      <c r="I10" s="419"/>
      <c r="J10" s="419"/>
      <c r="K10" s="419"/>
    </row>
    <row r="11" spans="1:11">
      <c r="A11" s="80"/>
      <c r="B11" s="80"/>
      <c r="C11" s="80"/>
      <c r="D11" s="80"/>
      <c r="E11" s="80"/>
      <c r="F11" s="80"/>
      <c r="G11" s="419"/>
      <c r="H11" s="419"/>
      <c r="I11" s="419"/>
      <c r="J11" s="419"/>
      <c r="K11" s="419"/>
    </row>
    <row r="12" spans="1:11">
      <c r="A12" s="80"/>
      <c r="B12" s="80"/>
      <c r="C12" s="80"/>
      <c r="D12" s="80"/>
      <c r="E12" s="80"/>
      <c r="F12" s="80"/>
      <c r="G12" s="419"/>
      <c r="H12" s="419"/>
      <c r="I12" s="419"/>
      <c r="J12" s="419"/>
      <c r="K12" s="419"/>
    </row>
    <row r="13" spans="1:11">
      <c r="A13" s="80"/>
      <c r="B13" s="80"/>
      <c r="C13" s="80"/>
      <c r="D13" s="80"/>
      <c r="E13" s="80"/>
      <c r="F13" s="80"/>
      <c r="G13" s="80"/>
      <c r="H13" s="80"/>
      <c r="I13" s="80"/>
      <c r="J13" s="80"/>
      <c r="K13" s="80"/>
    </row>
    <row r="14" spans="1:11">
      <c r="A14" s="80"/>
      <c r="B14" s="80"/>
      <c r="C14" s="80"/>
      <c r="D14" s="80"/>
      <c r="E14" s="80"/>
      <c r="F14" s="80"/>
      <c r="G14" s="80"/>
      <c r="H14" s="80"/>
      <c r="I14" s="80"/>
      <c r="J14" s="80"/>
      <c r="K14" s="80"/>
    </row>
    <row r="15" spans="1:11">
      <c r="A15" s="80"/>
      <c r="B15" s="80"/>
      <c r="C15" s="80"/>
      <c r="D15" s="80"/>
      <c r="E15" s="80"/>
      <c r="F15" s="80"/>
      <c r="G15" s="80"/>
      <c r="H15" s="80"/>
      <c r="I15" s="80"/>
      <c r="J15" s="80"/>
      <c r="K15" s="80"/>
    </row>
    <row r="16" spans="1:11">
      <c r="A16" s="80"/>
      <c r="B16" s="80"/>
      <c r="C16" s="80"/>
      <c r="D16" s="80"/>
      <c r="E16" s="80"/>
      <c r="F16" s="80"/>
      <c r="G16" s="80"/>
      <c r="H16" s="80"/>
      <c r="I16" s="80"/>
      <c r="J16" s="80"/>
      <c r="K16" s="80"/>
    </row>
    <row r="17" spans="1:11">
      <c r="A17" s="80"/>
      <c r="B17" s="80"/>
      <c r="C17" s="80"/>
      <c r="D17" s="80"/>
      <c r="E17" s="80"/>
      <c r="F17" s="80"/>
      <c r="G17" s="80"/>
      <c r="H17" s="80"/>
      <c r="I17" s="80"/>
      <c r="J17" s="80"/>
      <c r="K17" s="80"/>
    </row>
    <row r="18" spans="1:11">
      <c r="A18" s="80"/>
      <c r="B18" s="80"/>
      <c r="C18" s="80"/>
      <c r="D18" s="80"/>
      <c r="E18" s="80"/>
      <c r="F18" s="80"/>
      <c r="G18" s="80"/>
      <c r="H18" s="80"/>
      <c r="I18" s="80"/>
      <c r="J18" s="80"/>
      <c r="K18" s="80"/>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I92"/>
  <sheetViews>
    <sheetView showGridLines="0" zoomScale="85" zoomScaleNormal="85" zoomScaleSheetLayoutView="90" workbookViewId="0">
      <pane xSplit="4" ySplit="4" topLeftCell="E5" activePane="bottomRight" state="frozen"/>
      <selection pane="topRight" activeCell="E1" sqref="E1"/>
      <selection pane="bottomLeft" activeCell="A5" sqref="A5"/>
      <selection pane="bottomRight" activeCell="E47" sqref="E47"/>
    </sheetView>
  </sheetViews>
  <sheetFormatPr defaultRowHeight="18.75"/>
  <cols>
    <col min="1" max="1" width="3.5" style="135" customWidth="1"/>
    <col min="2" max="2" width="9" style="135" customWidth="1"/>
    <col min="3" max="3" width="3.625" style="135" customWidth="1"/>
    <col min="4" max="4" width="29.125" style="136" customWidth="1"/>
    <col min="5" max="5" width="31.875" style="135" customWidth="1"/>
    <col min="6" max="7" width="9" style="135" hidden="1" customWidth="1"/>
    <col min="8" max="8" width="37" style="287" hidden="1" customWidth="1"/>
    <col min="9" max="9" width="13.75" style="172" customWidth="1"/>
    <col min="10" max="10" width="11.75" style="137" customWidth="1"/>
    <col min="11" max="11" width="6.125" style="135" customWidth="1"/>
    <col min="12" max="12" width="29.125" style="137" customWidth="1"/>
    <col min="13" max="13" width="11.25" style="169" customWidth="1"/>
    <col min="14" max="14" width="13.125" style="169" customWidth="1"/>
    <col min="15" max="15" width="11.75" style="170" customWidth="1"/>
    <col min="16" max="16" width="12.25" style="169" customWidth="1"/>
    <col min="17" max="17" width="11.375" style="395" customWidth="1"/>
    <col min="18" max="18" width="10.125" style="135" customWidth="1"/>
    <col min="19" max="19" width="11.125" style="135" customWidth="1"/>
    <col min="20" max="20" width="11.875" style="476" customWidth="1"/>
    <col min="21" max="21" width="9.125" style="135" customWidth="1"/>
    <col min="22" max="22" width="20.25" style="135" customWidth="1"/>
    <col min="23" max="28" width="12.625" style="135" customWidth="1"/>
    <col min="29" max="35" width="9.625" style="135" customWidth="1"/>
    <col min="36" max="42" width="6.625" style="135" customWidth="1"/>
    <col min="43" max="55" width="3.5" style="135" customWidth="1"/>
    <col min="56" max="64" width="4.5" style="135" customWidth="1"/>
    <col min="65" max="16384" width="9" style="135"/>
  </cols>
  <sheetData>
    <row r="1" spans="2:61">
      <c r="B1" s="135" t="s">
        <v>190</v>
      </c>
      <c r="R1" s="138"/>
      <c r="S1" s="138"/>
      <c r="T1" s="474"/>
    </row>
    <row r="2" spans="2:61">
      <c r="R2" s="138"/>
      <c r="S2" s="138"/>
      <c r="T2" s="474"/>
      <c r="V2" s="138"/>
      <c r="W2" s="138"/>
      <c r="X2" s="138"/>
      <c r="Y2" s="138"/>
      <c r="Z2" s="138"/>
      <c r="AA2" s="138"/>
      <c r="AB2" s="138"/>
      <c r="AC2" s="138"/>
    </row>
    <row r="3" spans="2:61" ht="18.75" customHeight="1">
      <c r="B3" s="182"/>
      <c r="C3" s="182"/>
      <c r="D3" s="182"/>
      <c r="E3" s="281"/>
      <c r="F3" s="281"/>
      <c r="G3" s="281"/>
      <c r="H3" s="288"/>
      <c r="I3" s="181"/>
      <c r="J3" s="188" t="s">
        <v>192</v>
      </c>
      <c r="K3" s="165"/>
      <c r="L3" s="166"/>
      <c r="M3" s="167"/>
      <c r="N3" s="167"/>
      <c r="O3" s="203"/>
      <c r="P3" s="168"/>
      <c r="Q3" s="168"/>
      <c r="R3" s="168" t="s">
        <v>669</v>
      </c>
      <c r="S3" s="168"/>
      <c r="T3" s="475" t="s">
        <v>667</v>
      </c>
      <c r="U3" s="168" t="s">
        <v>667</v>
      </c>
      <c r="V3" s="138"/>
      <c r="W3" s="138"/>
      <c r="X3" s="138"/>
      <c r="Y3" s="138"/>
      <c r="Z3" s="138"/>
      <c r="AA3" s="138"/>
      <c r="AB3" s="138"/>
      <c r="AC3" s="395"/>
    </row>
    <row r="4" spans="2:61" ht="43.5" customHeight="1">
      <c r="B4" s="184" t="s">
        <v>0</v>
      </c>
      <c r="C4" s="185" t="s">
        <v>1</v>
      </c>
      <c r="D4" s="185" t="s">
        <v>2</v>
      </c>
      <c r="E4" s="185" t="s">
        <v>193</v>
      </c>
      <c r="F4" s="186" t="s">
        <v>369</v>
      </c>
      <c r="G4" s="186" t="s">
        <v>370</v>
      </c>
      <c r="H4" s="186" t="s">
        <v>194</v>
      </c>
      <c r="I4" s="187" t="s">
        <v>191</v>
      </c>
      <c r="J4" s="140" t="s">
        <v>195</v>
      </c>
      <c r="K4" s="140" t="s">
        <v>196</v>
      </c>
      <c r="L4" s="140" t="s">
        <v>197</v>
      </c>
      <c r="M4" s="183" t="s">
        <v>289</v>
      </c>
      <c r="N4" s="504" t="s">
        <v>701</v>
      </c>
      <c r="O4" s="320" t="s">
        <v>295</v>
      </c>
      <c r="P4" s="183" t="s">
        <v>293</v>
      </c>
      <c r="Q4" s="183" t="s">
        <v>617</v>
      </c>
      <c r="R4" s="183" t="s">
        <v>662</v>
      </c>
      <c r="S4" s="183" t="s">
        <v>661</v>
      </c>
      <c r="T4" s="477" t="s">
        <v>666</v>
      </c>
      <c r="U4" s="183" t="s">
        <v>668</v>
      </c>
      <c r="V4" s="138"/>
      <c r="W4" s="396"/>
      <c r="X4" s="211"/>
      <c r="Y4" s="211"/>
      <c r="Z4" s="211"/>
      <c r="AA4" s="211"/>
      <c r="AB4" s="211"/>
      <c r="AC4" s="397"/>
    </row>
    <row r="5" spans="2:61" ht="47.25">
      <c r="B5" s="864" t="s">
        <v>198</v>
      </c>
      <c r="C5" s="494">
        <v>1</v>
      </c>
      <c r="D5" s="495" t="s">
        <v>5</v>
      </c>
      <c r="E5" s="496" t="s">
        <v>702</v>
      </c>
      <c r="F5" s="404" t="s">
        <v>199</v>
      </c>
      <c r="G5" s="404" t="s">
        <v>199</v>
      </c>
      <c r="H5" s="405" t="s">
        <v>200</v>
      </c>
      <c r="I5" s="500">
        <v>5.0000000000000001E-3</v>
      </c>
      <c r="J5" s="160" t="s">
        <v>201</v>
      </c>
      <c r="K5" s="407" t="s">
        <v>202</v>
      </c>
      <c r="L5" s="501" t="s">
        <v>368</v>
      </c>
      <c r="M5" s="157">
        <v>1</v>
      </c>
      <c r="N5" s="157">
        <v>1</v>
      </c>
      <c r="O5" s="176">
        <f>I5*M5*N5</f>
        <v>5.0000000000000001E-3</v>
      </c>
      <c r="P5" s="157"/>
      <c r="Q5" s="406" t="s">
        <v>618</v>
      </c>
      <c r="R5" s="473">
        <f>メイン!K19</f>
        <v>1</v>
      </c>
      <c r="S5" s="404" t="str">
        <f>メイン!O19</f>
        <v>合計</v>
      </c>
      <c r="T5" s="412"/>
      <c r="U5" s="143"/>
      <c r="V5" s="138"/>
      <c r="W5" s="138"/>
      <c r="X5" s="398"/>
      <c r="Y5" s="138"/>
      <c r="Z5" s="138"/>
      <c r="AA5" s="138"/>
      <c r="AB5" s="138"/>
      <c r="AC5" s="399"/>
      <c r="AD5" s="138"/>
    </row>
    <row r="6" spans="2:61" ht="31.5">
      <c r="B6" s="865"/>
      <c r="C6" s="148">
        <v>2</v>
      </c>
      <c r="D6" s="160" t="s">
        <v>6</v>
      </c>
      <c r="E6" s="497" t="s">
        <v>670</v>
      </c>
      <c r="F6" s="404" t="s">
        <v>199</v>
      </c>
      <c r="G6" s="404" t="s">
        <v>199</v>
      </c>
      <c r="H6" s="405" t="s">
        <v>203</v>
      </c>
      <c r="I6" s="500">
        <v>5.0000000000000001E-3</v>
      </c>
      <c r="J6" s="160" t="s">
        <v>201</v>
      </c>
      <c r="K6" s="407" t="s">
        <v>202</v>
      </c>
      <c r="L6" s="501" t="s">
        <v>368</v>
      </c>
      <c r="M6" s="157">
        <v>1</v>
      </c>
      <c r="N6" s="157">
        <v>1</v>
      </c>
      <c r="O6" s="176">
        <f t="shared" ref="O6:O69" si="0">I6*M6*N6</f>
        <v>5.0000000000000001E-3</v>
      </c>
      <c r="P6" s="157"/>
      <c r="Q6" s="406"/>
      <c r="R6" s="473">
        <f>メイン!K20</f>
        <v>1</v>
      </c>
      <c r="S6" s="404" t="str">
        <f>メイン!O20</f>
        <v>合計</v>
      </c>
      <c r="T6" s="412"/>
      <c r="U6" s="143"/>
      <c r="V6" s="138"/>
      <c r="W6" s="138"/>
      <c r="X6" s="138"/>
      <c r="Y6" s="138"/>
      <c r="Z6" s="138"/>
      <c r="AA6" s="400"/>
      <c r="AB6" s="138"/>
      <c r="AC6" s="399"/>
      <c r="AD6" s="143"/>
    </row>
    <row r="7" spans="2:61" ht="47.25">
      <c r="B7" s="865"/>
      <c r="C7" s="148">
        <v>3</v>
      </c>
      <c r="D7" s="160" t="s">
        <v>357</v>
      </c>
      <c r="E7" s="497" t="s">
        <v>719</v>
      </c>
      <c r="F7" s="404" t="s">
        <v>204</v>
      </c>
      <c r="G7" s="404" t="s">
        <v>204</v>
      </c>
      <c r="H7" s="405" t="s">
        <v>203</v>
      </c>
      <c r="I7" s="500">
        <v>5.0000000000000001E-3</v>
      </c>
      <c r="J7" s="160" t="s">
        <v>201</v>
      </c>
      <c r="K7" s="407" t="s">
        <v>202</v>
      </c>
      <c r="L7" s="501" t="s">
        <v>368</v>
      </c>
      <c r="M7" s="157">
        <v>1</v>
      </c>
      <c r="N7" s="157">
        <v>1</v>
      </c>
      <c r="O7" s="176">
        <f t="shared" si="0"/>
        <v>5.0000000000000001E-3</v>
      </c>
      <c r="P7" s="157"/>
      <c r="Q7" s="406"/>
      <c r="R7" s="473">
        <f>メイン!K21</f>
        <v>1</v>
      </c>
      <c r="S7" s="404" t="str">
        <f>メイン!O21</f>
        <v>合計</v>
      </c>
      <c r="T7" s="413"/>
      <c r="U7" s="143"/>
      <c r="V7" s="211"/>
      <c r="AC7" s="212"/>
      <c r="AD7" s="143"/>
    </row>
    <row r="8" spans="2:61" ht="29.25" customHeight="1">
      <c r="B8" s="865"/>
      <c r="C8" s="148">
        <v>4</v>
      </c>
      <c r="D8" s="160" t="s">
        <v>358</v>
      </c>
      <c r="E8" s="497" t="s">
        <v>528</v>
      </c>
      <c r="F8" s="404" t="s">
        <v>204</v>
      </c>
      <c r="G8" s="404" t="s">
        <v>204</v>
      </c>
      <c r="H8" s="405" t="s">
        <v>205</v>
      </c>
      <c r="I8" s="500">
        <v>5.0000000000000001E-3</v>
      </c>
      <c r="J8" s="160" t="s">
        <v>201</v>
      </c>
      <c r="K8" s="407" t="s">
        <v>202</v>
      </c>
      <c r="L8" s="501" t="s">
        <v>368</v>
      </c>
      <c r="M8" s="157">
        <v>1</v>
      </c>
      <c r="N8" s="157">
        <v>1</v>
      </c>
      <c r="O8" s="176">
        <f t="shared" si="0"/>
        <v>5.0000000000000001E-3</v>
      </c>
      <c r="P8" s="157"/>
      <c r="Q8" s="406" t="s">
        <v>618</v>
      </c>
      <c r="R8" s="473">
        <f>メイン!K22</f>
        <v>1</v>
      </c>
      <c r="S8" s="404" t="str">
        <f>メイン!O22</f>
        <v>合計</v>
      </c>
      <c r="T8" s="413"/>
      <c r="U8" s="143"/>
      <c r="V8" s="213" t="s">
        <v>319</v>
      </c>
      <c r="W8" s="213"/>
      <c r="X8" s="213"/>
      <c r="AC8" s="143"/>
      <c r="AD8" s="143"/>
    </row>
    <row r="9" spans="2:61" ht="42.75" customHeight="1">
      <c r="B9" s="865"/>
      <c r="C9" s="148">
        <v>5</v>
      </c>
      <c r="D9" s="160" t="s">
        <v>359</v>
      </c>
      <c r="E9" s="497" t="s">
        <v>703</v>
      </c>
      <c r="F9" s="404" t="s">
        <v>204</v>
      </c>
      <c r="G9" s="404" t="s">
        <v>204</v>
      </c>
      <c r="H9" s="405" t="s">
        <v>206</v>
      </c>
      <c r="I9" s="500">
        <v>5.0000000000000001E-3</v>
      </c>
      <c r="J9" s="160" t="s">
        <v>201</v>
      </c>
      <c r="K9" s="407" t="s">
        <v>202</v>
      </c>
      <c r="L9" s="501" t="s">
        <v>368</v>
      </c>
      <c r="M9" s="157">
        <v>1</v>
      </c>
      <c r="N9" s="157">
        <v>1</v>
      </c>
      <c r="O9" s="176">
        <f t="shared" si="0"/>
        <v>5.0000000000000001E-3</v>
      </c>
      <c r="P9" s="157"/>
      <c r="Q9" s="406"/>
      <c r="R9" s="473">
        <f>メイン!K23</f>
        <v>1</v>
      </c>
      <c r="S9" s="404" t="str">
        <f>メイン!O23</f>
        <v>合計</v>
      </c>
      <c r="T9" s="412"/>
      <c r="U9" s="143"/>
      <c r="V9" s="870" t="s">
        <v>302</v>
      </c>
      <c r="W9" s="870"/>
      <c r="X9" s="870"/>
      <c r="AC9" s="143"/>
      <c r="AD9" s="143"/>
    </row>
    <row r="10" spans="2:61" ht="42.75" customHeight="1">
      <c r="B10" s="865"/>
      <c r="C10" s="148">
        <v>6</v>
      </c>
      <c r="D10" s="160" t="s">
        <v>360</v>
      </c>
      <c r="E10" s="497" t="s">
        <v>720</v>
      </c>
      <c r="F10" s="404" t="s">
        <v>204</v>
      </c>
      <c r="G10" s="404" t="s">
        <v>204</v>
      </c>
      <c r="H10" s="405" t="s">
        <v>365</v>
      </c>
      <c r="I10" s="500">
        <v>5.0000000000000001E-3</v>
      </c>
      <c r="J10" s="160" t="s">
        <v>201</v>
      </c>
      <c r="K10" s="407" t="s">
        <v>202</v>
      </c>
      <c r="L10" s="501" t="s">
        <v>368</v>
      </c>
      <c r="M10" s="157">
        <v>1</v>
      </c>
      <c r="N10" s="157">
        <v>1</v>
      </c>
      <c r="O10" s="176">
        <f t="shared" si="0"/>
        <v>5.0000000000000001E-3</v>
      </c>
      <c r="P10" s="157"/>
      <c r="Q10" s="406"/>
      <c r="R10" s="473">
        <f>メイン!K24</f>
        <v>1</v>
      </c>
      <c r="S10" s="404" t="str">
        <f>メイン!O24</f>
        <v>合計</v>
      </c>
      <c r="T10" s="412"/>
      <c r="U10" s="143"/>
      <c r="V10" s="228" t="s">
        <v>299</v>
      </c>
      <c r="W10" s="229">
        <f>メイン!L2</f>
        <v>0</v>
      </c>
      <c r="X10" s="230">
        <f>1</f>
        <v>1</v>
      </c>
      <c r="AC10" s="143"/>
      <c r="AD10" s="143"/>
    </row>
    <row r="11" spans="2:61" ht="35.25" customHeight="1">
      <c r="B11" s="865"/>
      <c r="C11" s="148">
        <v>7</v>
      </c>
      <c r="D11" s="160" t="s">
        <v>361</v>
      </c>
      <c r="E11" s="497" t="s">
        <v>529</v>
      </c>
      <c r="F11" s="404" t="s">
        <v>204</v>
      </c>
      <c r="G11" s="404" t="s">
        <v>204</v>
      </c>
      <c r="H11" s="405" t="s">
        <v>203</v>
      </c>
      <c r="I11" s="500">
        <v>5.0000000000000001E-3</v>
      </c>
      <c r="J11" s="160" t="s">
        <v>201</v>
      </c>
      <c r="K11" s="407" t="s">
        <v>202</v>
      </c>
      <c r="L11" s="501" t="s">
        <v>368</v>
      </c>
      <c r="M11" s="157">
        <v>1</v>
      </c>
      <c r="N11" s="157">
        <v>1</v>
      </c>
      <c r="O11" s="176">
        <f t="shared" si="0"/>
        <v>5.0000000000000001E-3</v>
      </c>
      <c r="P11" s="157"/>
      <c r="Q11" s="406" t="s">
        <v>618</v>
      </c>
      <c r="R11" s="473">
        <f>メイン!K25</f>
        <v>1</v>
      </c>
      <c r="S11" s="404" t="str">
        <f>メイン!O25</f>
        <v>合計</v>
      </c>
      <c r="T11" s="412"/>
      <c r="U11" s="143"/>
      <c r="V11" s="228" t="s">
        <v>294</v>
      </c>
      <c r="W11" s="204">
        <f>メイン!L3</f>
        <v>0</v>
      </c>
      <c r="X11" s="231">
        <f>ROUND(メイン!M3,3)</f>
        <v>1</v>
      </c>
      <c r="AC11" s="143"/>
      <c r="AD11" s="143"/>
    </row>
    <row r="12" spans="2:61" ht="47.25">
      <c r="B12" s="865"/>
      <c r="C12" s="148">
        <v>8</v>
      </c>
      <c r="D12" s="160" t="s">
        <v>7</v>
      </c>
      <c r="E12" s="497" t="s">
        <v>530</v>
      </c>
      <c r="F12" s="404" t="s">
        <v>204</v>
      </c>
      <c r="G12" s="404" t="s">
        <v>204</v>
      </c>
      <c r="H12" s="405" t="s">
        <v>366</v>
      </c>
      <c r="I12" s="500">
        <v>5.0000000000000001E-3</v>
      </c>
      <c r="J12" s="160" t="s">
        <v>201</v>
      </c>
      <c r="K12" s="407" t="s">
        <v>202</v>
      </c>
      <c r="L12" s="501" t="s">
        <v>368</v>
      </c>
      <c r="M12" s="157">
        <v>1</v>
      </c>
      <c r="N12" s="157">
        <v>1</v>
      </c>
      <c r="O12" s="176">
        <f t="shared" si="0"/>
        <v>5.0000000000000001E-3</v>
      </c>
      <c r="P12" s="157"/>
      <c r="Q12" s="406"/>
      <c r="R12" s="473">
        <f>メイン!K26</f>
        <v>1</v>
      </c>
      <c r="S12" s="404" t="str">
        <f>メイン!O26</f>
        <v>合計</v>
      </c>
      <c r="T12" s="412"/>
      <c r="U12" s="143"/>
      <c r="V12" s="228" t="s">
        <v>317</v>
      </c>
      <c r="W12" s="204">
        <f>メイン!L4</f>
        <v>0</v>
      </c>
      <c r="X12" s="231">
        <f>ROUND(メイン!M4,3)</f>
        <v>1</v>
      </c>
    </row>
    <row r="13" spans="2:61" ht="66.75" customHeight="1">
      <c r="B13" s="865"/>
      <c r="C13" s="148">
        <v>9</v>
      </c>
      <c r="D13" s="160" t="s">
        <v>362</v>
      </c>
      <c r="E13" s="497" t="s">
        <v>531</v>
      </c>
      <c r="F13" s="404" t="s">
        <v>204</v>
      </c>
      <c r="G13" s="404" t="s">
        <v>204</v>
      </c>
      <c r="H13" s="405" t="s">
        <v>207</v>
      </c>
      <c r="I13" s="500">
        <v>5.0000000000000001E-3</v>
      </c>
      <c r="J13" s="160" t="s">
        <v>201</v>
      </c>
      <c r="K13" s="407" t="s">
        <v>202</v>
      </c>
      <c r="L13" s="501" t="s">
        <v>368</v>
      </c>
      <c r="M13" s="157">
        <v>1</v>
      </c>
      <c r="N13" s="157">
        <v>1</v>
      </c>
      <c r="O13" s="176">
        <f t="shared" si="0"/>
        <v>5.0000000000000001E-3</v>
      </c>
      <c r="P13" s="157"/>
      <c r="Q13" s="406"/>
      <c r="R13" s="473">
        <f>メイン!K27</f>
        <v>1</v>
      </c>
      <c r="S13" s="404" t="str">
        <f>メイン!O27</f>
        <v>合計</v>
      </c>
      <c r="T13" s="412"/>
      <c r="U13" s="143"/>
      <c r="V13" s="227" t="s">
        <v>522</v>
      </c>
      <c r="W13" s="204">
        <f>メイン!L5</f>
        <v>0</v>
      </c>
      <c r="X13" s="231">
        <f>ROUND(メイン!M5,3)</f>
        <v>1</v>
      </c>
    </row>
    <row r="14" spans="2:61" ht="42.75" customHeight="1">
      <c r="B14" s="866"/>
      <c r="C14" s="148">
        <v>10</v>
      </c>
      <c r="D14" s="498" t="s">
        <v>363</v>
      </c>
      <c r="E14" s="497" t="s">
        <v>364</v>
      </c>
      <c r="F14" s="404" t="s">
        <v>199</v>
      </c>
      <c r="G14" s="404" t="s">
        <v>199</v>
      </c>
      <c r="H14" s="405" t="s">
        <v>367</v>
      </c>
      <c r="I14" s="500">
        <v>5.0000000000000001E-3</v>
      </c>
      <c r="J14" s="160" t="s">
        <v>201</v>
      </c>
      <c r="K14" s="407" t="s">
        <v>202</v>
      </c>
      <c r="L14" s="501" t="s">
        <v>368</v>
      </c>
      <c r="M14" s="157">
        <v>1</v>
      </c>
      <c r="N14" s="157">
        <v>1</v>
      </c>
      <c r="O14" s="176">
        <f t="shared" si="0"/>
        <v>5.0000000000000001E-3</v>
      </c>
      <c r="P14" s="157"/>
      <c r="Q14" s="406"/>
      <c r="R14" s="473">
        <f>メイン!K28</f>
        <v>1</v>
      </c>
      <c r="S14" s="404" t="str">
        <f>メイン!O28</f>
        <v>合計</v>
      </c>
      <c r="T14" s="412"/>
      <c r="U14" s="143"/>
      <c r="V14" s="227" t="s">
        <v>305</v>
      </c>
      <c r="W14" s="204">
        <f>メイン!L6</f>
        <v>0</v>
      </c>
      <c r="X14" s="231">
        <f>ROUND(メイン!M6,3)</f>
        <v>1</v>
      </c>
    </row>
    <row r="15" spans="2:61" ht="51" customHeight="1">
      <c r="B15" s="864" t="s">
        <v>497</v>
      </c>
      <c r="C15" s="148">
        <v>11</v>
      </c>
      <c r="D15" s="160" t="s">
        <v>12</v>
      </c>
      <c r="E15" s="497" t="s">
        <v>699</v>
      </c>
      <c r="F15" s="401" t="s">
        <v>199</v>
      </c>
      <c r="G15" s="401" t="s">
        <v>199</v>
      </c>
      <c r="H15" s="289" t="s">
        <v>371</v>
      </c>
      <c r="I15" s="500">
        <v>1.4999999999999999E-2</v>
      </c>
      <c r="J15" s="160" t="s">
        <v>555</v>
      </c>
      <c r="K15" s="407" t="s">
        <v>171</v>
      </c>
      <c r="L15" s="501" t="s">
        <v>693</v>
      </c>
      <c r="M15" s="296">
        <v>1</v>
      </c>
      <c r="N15" s="296">
        <v>1</v>
      </c>
      <c r="O15" s="173">
        <f t="shared" si="0"/>
        <v>1.4999999999999999E-2</v>
      </c>
      <c r="P15" s="296"/>
      <c r="Q15" s="406" t="s">
        <v>618</v>
      </c>
      <c r="R15" s="473">
        <f ca="1">メイン!K29</f>
        <v>0.45200000000000001</v>
      </c>
      <c r="S15" s="404" t="str">
        <f>メイン!O29</f>
        <v>熱負荷</v>
      </c>
      <c r="T15" s="147" t="s">
        <v>660</v>
      </c>
      <c r="U15" s="486">
        <f ca="1">IFERROR(VLOOKUP(T15,エネルギーシェア!$B$4:$I$23,8,FALSE),"")</f>
        <v>45.2</v>
      </c>
      <c r="V15" s="214" t="s">
        <v>304</v>
      </c>
      <c r="BH15" s="149"/>
      <c r="BI15" s="149"/>
    </row>
    <row r="16" spans="2:61" ht="34.5" customHeight="1">
      <c r="B16" s="865"/>
      <c r="C16" s="148">
        <v>12</v>
      </c>
      <c r="D16" s="160" t="s">
        <v>721</v>
      </c>
      <c r="E16" s="497" t="s">
        <v>722</v>
      </c>
      <c r="F16" s="401" t="s">
        <v>199</v>
      </c>
      <c r="G16" s="401" t="s">
        <v>199</v>
      </c>
      <c r="H16" s="289" t="s">
        <v>212</v>
      </c>
      <c r="I16" s="502">
        <v>5.0000000000000001E-3</v>
      </c>
      <c r="J16" s="160" t="s">
        <v>502</v>
      </c>
      <c r="K16" s="147" t="s">
        <v>372</v>
      </c>
      <c r="L16" s="501" t="s">
        <v>172</v>
      </c>
      <c r="M16" s="296">
        <v>1</v>
      </c>
      <c r="N16" s="296">
        <v>1</v>
      </c>
      <c r="O16" s="173">
        <f t="shared" si="0"/>
        <v>5.0000000000000001E-3</v>
      </c>
      <c r="P16" s="296"/>
      <c r="Q16" s="404" t="s">
        <v>679</v>
      </c>
      <c r="R16" s="473">
        <f ca="1">メイン!K30</f>
        <v>0.45200000000000001</v>
      </c>
      <c r="S16" s="404" t="str">
        <f>メイン!O30</f>
        <v>熱負荷</v>
      </c>
      <c r="T16" s="407" t="s">
        <v>665</v>
      </c>
      <c r="U16" s="486">
        <f ca="1">IFERROR(VLOOKUP(T16,エネルギーシェア!$B$4:$I$23,8,FALSE),"")</f>
        <v>45.2</v>
      </c>
      <c r="V16" s="135" t="s">
        <v>554</v>
      </c>
      <c r="AG16" s="138"/>
      <c r="AH16" s="138"/>
      <c r="AI16" s="138"/>
      <c r="AJ16" s="138"/>
      <c r="AK16" s="138"/>
      <c r="AL16" s="138"/>
    </row>
    <row r="17" spans="2:42" ht="34.5" customHeight="1">
      <c r="B17" s="865"/>
      <c r="C17" s="148">
        <v>13</v>
      </c>
      <c r="D17" s="160" t="s">
        <v>373</v>
      </c>
      <c r="E17" s="497" t="s">
        <v>532</v>
      </c>
      <c r="F17" s="401" t="s">
        <v>199</v>
      </c>
      <c r="G17" s="401" t="s">
        <v>199</v>
      </c>
      <c r="H17" s="289" t="s">
        <v>211</v>
      </c>
      <c r="I17" s="500">
        <f>0.015/4</f>
        <v>3.7499999999999999E-3</v>
      </c>
      <c r="J17" s="160" t="s">
        <v>502</v>
      </c>
      <c r="K17" s="407" t="s">
        <v>171</v>
      </c>
      <c r="L17" s="501" t="s">
        <v>694</v>
      </c>
      <c r="M17" s="299">
        <v>1</v>
      </c>
      <c r="N17" s="299">
        <v>1</v>
      </c>
      <c r="O17" s="176">
        <f t="shared" si="0"/>
        <v>3.7499999999999999E-3</v>
      </c>
      <c r="P17" s="299"/>
      <c r="Q17" s="406"/>
      <c r="R17" s="473">
        <f ca="1">メイン!K31</f>
        <v>0.45200000000000001</v>
      </c>
      <c r="S17" s="404" t="str">
        <f>メイン!O31</f>
        <v>熱負荷</v>
      </c>
      <c r="T17" s="147" t="s">
        <v>665</v>
      </c>
      <c r="U17" s="486">
        <f ca="1">IFERROR(VLOOKUP(T17,エネルギーシェア!$B$4:$I$23,8,FALSE),"")</f>
        <v>45.2</v>
      </c>
      <c r="V17" s="135" t="s">
        <v>318</v>
      </c>
      <c r="AC17" s="221" t="s">
        <v>113</v>
      </c>
      <c r="AD17" s="219"/>
      <c r="AE17" s="219"/>
      <c r="AF17" s="219"/>
      <c r="AG17" s="219"/>
      <c r="AH17" s="219"/>
      <c r="AI17" s="220"/>
      <c r="AJ17" s="236" t="s">
        <v>290</v>
      </c>
      <c r="AK17" s="218"/>
      <c r="AL17" s="218"/>
      <c r="AM17" s="218"/>
      <c r="AN17" s="218"/>
      <c r="AO17" s="218"/>
      <c r="AP17" s="220"/>
    </row>
    <row r="18" spans="2:42" ht="30" customHeight="1">
      <c r="B18" s="865"/>
      <c r="C18" s="148">
        <v>14</v>
      </c>
      <c r="D18" s="160" t="s">
        <v>14</v>
      </c>
      <c r="E18" s="497" t="s">
        <v>700</v>
      </c>
      <c r="F18" s="401" t="s">
        <v>199</v>
      </c>
      <c r="G18" s="401" t="s">
        <v>199</v>
      </c>
      <c r="H18" s="289" t="s">
        <v>213</v>
      </c>
      <c r="I18" s="500">
        <f>0.015/4</f>
        <v>3.7499999999999999E-3</v>
      </c>
      <c r="J18" s="160" t="s">
        <v>502</v>
      </c>
      <c r="K18" s="407" t="s">
        <v>171</v>
      </c>
      <c r="L18" s="501" t="s">
        <v>694</v>
      </c>
      <c r="M18" s="299">
        <v>1</v>
      </c>
      <c r="N18" s="299">
        <v>1</v>
      </c>
      <c r="O18" s="176">
        <f t="shared" si="0"/>
        <v>3.7499999999999999E-3</v>
      </c>
      <c r="P18" s="299"/>
      <c r="Q18" s="406"/>
      <c r="R18" s="473">
        <f ca="1">メイン!K32</f>
        <v>0.45200000000000001</v>
      </c>
      <c r="S18" s="404" t="str">
        <f>メイン!O32</f>
        <v>熱負荷</v>
      </c>
      <c r="T18" s="407" t="s">
        <v>665</v>
      </c>
      <c r="U18" s="486">
        <f ca="1">IFERROR(VLOOKUP(T18,エネルギーシェア!$B$4:$I$23,8,FALSE),"")</f>
        <v>45.2</v>
      </c>
      <c r="V18" s="484" t="s">
        <v>75</v>
      </c>
      <c r="W18" s="872" t="s">
        <v>307</v>
      </c>
      <c r="X18" s="872"/>
      <c r="Y18" s="872"/>
      <c r="Z18" s="872"/>
      <c r="AA18" s="215" t="s">
        <v>306</v>
      </c>
      <c r="AB18" s="222" t="s">
        <v>290</v>
      </c>
      <c r="AC18" s="217">
        <v>1</v>
      </c>
      <c r="AD18" s="217">
        <v>2</v>
      </c>
      <c r="AE18" s="217">
        <v>3</v>
      </c>
      <c r="AF18" s="217">
        <v>4</v>
      </c>
      <c r="AG18" s="217">
        <v>5</v>
      </c>
      <c r="AH18" s="217">
        <v>6</v>
      </c>
      <c r="AI18" s="194">
        <v>7</v>
      </c>
      <c r="AJ18" s="217">
        <v>1</v>
      </c>
      <c r="AK18" s="217">
        <v>2</v>
      </c>
      <c r="AL18" s="217">
        <v>3</v>
      </c>
      <c r="AM18" s="217">
        <v>4</v>
      </c>
      <c r="AN18" s="217">
        <v>5</v>
      </c>
      <c r="AO18" s="217">
        <v>6</v>
      </c>
      <c r="AP18" s="217">
        <v>7</v>
      </c>
    </row>
    <row r="19" spans="2:42" ht="39.75" customHeight="1">
      <c r="B19" s="865"/>
      <c r="C19" s="148">
        <v>15</v>
      </c>
      <c r="D19" s="160" t="s">
        <v>374</v>
      </c>
      <c r="E19" s="497" t="s">
        <v>533</v>
      </c>
      <c r="F19" s="401" t="s">
        <v>199</v>
      </c>
      <c r="G19" s="401" t="s">
        <v>199</v>
      </c>
      <c r="H19" s="289" t="s">
        <v>217</v>
      </c>
      <c r="I19" s="500">
        <f>0.015/4</f>
        <v>3.7499999999999999E-3</v>
      </c>
      <c r="J19" s="160" t="s">
        <v>502</v>
      </c>
      <c r="K19" s="407" t="s">
        <v>171</v>
      </c>
      <c r="L19" s="501" t="s">
        <v>694</v>
      </c>
      <c r="M19" s="321">
        <v>1</v>
      </c>
      <c r="N19" s="301">
        <v>1</v>
      </c>
      <c r="O19" s="176">
        <f t="shared" si="0"/>
        <v>3.7499999999999999E-3</v>
      </c>
      <c r="P19" s="299"/>
      <c r="Q19" s="406"/>
      <c r="R19" s="473">
        <f ca="1">メイン!K33</f>
        <v>0.45200000000000001</v>
      </c>
      <c r="S19" s="404" t="str">
        <f>メイン!O33</f>
        <v>熱負荷</v>
      </c>
      <c r="T19" s="407" t="s">
        <v>665</v>
      </c>
      <c r="U19" s="486">
        <f ca="1">IFERROR(VLOOKUP(T19,エネルギーシェア!$B$4:$I$23,8,FALSE),"")</f>
        <v>45.2</v>
      </c>
      <c r="V19" s="485" t="s">
        <v>496</v>
      </c>
      <c r="W19" s="856" t="s">
        <v>321</v>
      </c>
      <c r="X19" s="857"/>
      <c r="Y19" s="857"/>
      <c r="Z19" s="858"/>
      <c r="AA19" s="372"/>
      <c r="AB19" s="233">
        <f ca="1">IF(メイン!C4="個別・セントラル併用",1-AB20,IF(メイン!C4="セントラル",1,IF(メイン!C4="個別",0,0)))</f>
        <v>0</v>
      </c>
      <c r="AC19" s="414"/>
      <c r="AD19" s="414"/>
      <c r="AE19" s="414"/>
      <c r="AF19" s="414"/>
      <c r="AG19" s="415"/>
      <c r="AH19" s="416"/>
      <c r="AI19" s="416"/>
      <c r="AJ19" s="417"/>
      <c r="AK19" s="417"/>
      <c r="AL19" s="417"/>
      <c r="AM19" s="417"/>
      <c r="AN19" s="418"/>
      <c r="AO19" s="418"/>
      <c r="AP19" s="418"/>
    </row>
    <row r="20" spans="2:42" ht="38.25" customHeight="1">
      <c r="B20" s="865"/>
      <c r="C20" s="148">
        <v>16</v>
      </c>
      <c r="D20" s="160" t="s">
        <v>15</v>
      </c>
      <c r="E20" s="497" t="s">
        <v>375</v>
      </c>
      <c r="F20" s="401" t="s">
        <v>204</v>
      </c>
      <c r="G20" s="401" t="s">
        <v>199</v>
      </c>
      <c r="H20" s="290" t="s">
        <v>215</v>
      </c>
      <c r="I20" s="500">
        <v>5.0000000000000001E-3</v>
      </c>
      <c r="J20" s="160" t="s">
        <v>502</v>
      </c>
      <c r="K20" s="407" t="s">
        <v>216</v>
      </c>
      <c r="L20" s="501" t="s">
        <v>266</v>
      </c>
      <c r="M20" s="299">
        <v>1</v>
      </c>
      <c r="N20" s="299">
        <v>1</v>
      </c>
      <c r="O20" s="176">
        <f t="shared" si="0"/>
        <v>5.0000000000000001E-3</v>
      </c>
      <c r="P20" s="299"/>
      <c r="Q20" s="406"/>
      <c r="R20" s="473">
        <f ca="1">メイン!K34</f>
        <v>0.45200000000000001</v>
      </c>
      <c r="S20" s="404" t="str">
        <f>メイン!O34</f>
        <v>熱負荷</v>
      </c>
      <c r="T20" s="407" t="s">
        <v>665</v>
      </c>
      <c r="U20" s="486">
        <f ca="1">IFERROR(VLOOKUP(T20,エネルギーシェア!$B$4:$I$23,8,FALSE),"")</f>
        <v>45.2</v>
      </c>
      <c r="V20" s="485" t="s">
        <v>517</v>
      </c>
      <c r="W20" s="856" t="s">
        <v>308</v>
      </c>
      <c r="X20" s="857"/>
      <c r="Y20" s="857"/>
      <c r="Z20" s="858"/>
      <c r="AA20" s="232" t="str">
        <f>IF(対策チェック!AH4="","",対策チェック!AH4)</f>
        <v/>
      </c>
      <c r="AB20" s="233">
        <f ca="1">IF(メイン!$C$4="個別",1,IF(メイン!$C$4="セントラル",0,IFERROR(OFFSET($AJ20,0,MATCH($AA20,$AC20:$AI20,0.2)-1),1)))</f>
        <v>1</v>
      </c>
      <c r="AC20" s="223" t="s">
        <v>330</v>
      </c>
      <c r="AD20" s="223" t="s">
        <v>519</v>
      </c>
      <c r="AE20" s="223" t="s">
        <v>311</v>
      </c>
      <c r="AF20" s="223" t="s">
        <v>520</v>
      </c>
      <c r="AG20" s="224" t="s">
        <v>310</v>
      </c>
      <c r="AH20" s="225" t="s">
        <v>314</v>
      </c>
      <c r="AI20" s="225" t="s">
        <v>312</v>
      </c>
      <c r="AJ20" s="216">
        <v>1</v>
      </c>
      <c r="AK20" s="196">
        <v>0.75</v>
      </c>
      <c r="AL20" s="196">
        <v>0.5</v>
      </c>
      <c r="AM20" s="196">
        <v>0.25</v>
      </c>
      <c r="AN20" s="139">
        <v>0.1</v>
      </c>
      <c r="AO20" s="139">
        <v>0</v>
      </c>
      <c r="AP20" s="226">
        <v>0.2</v>
      </c>
    </row>
    <row r="21" spans="2:42" ht="42" customHeight="1">
      <c r="B21" s="865"/>
      <c r="C21" s="148">
        <v>17</v>
      </c>
      <c r="D21" s="160" t="s">
        <v>723</v>
      </c>
      <c r="E21" s="497" t="s">
        <v>724</v>
      </c>
      <c r="F21" s="401" t="s">
        <v>204</v>
      </c>
      <c r="G21" s="401" t="s">
        <v>199</v>
      </c>
      <c r="H21" s="289" t="s">
        <v>376</v>
      </c>
      <c r="I21" s="502">
        <v>1.2999999999999999E-2</v>
      </c>
      <c r="J21" s="160" t="s">
        <v>502</v>
      </c>
      <c r="K21" s="147" t="s">
        <v>377</v>
      </c>
      <c r="L21" s="501" t="s">
        <v>378</v>
      </c>
      <c r="M21" s="299">
        <v>1</v>
      </c>
      <c r="N21" s="299">
        <v>1</v>
      </c>
      <c r="O21" s="176">
        <f t="shared" si="0"/>
        <v>1.2999999999999999E-2</v>
      </c>
      <c r="P21" s="299"/>
      <c r="Q21" s="406" t="s">
        <v>618</v>
      </c>
      <c r="R21" s="473">
        <f ca="1">メイン!K35</f>
        <v>0.45200000000000001</v>
      </c>
      <c r="S21" s="404" t="str">
        <f>メイン!O35</f>
        <v>熱負荷</v>
      </c>
      <c r="T21" s="407" t="s">
        <v>665</v>
      </c>
      <c r="U21" s="486">
        <f ca="1">IFERROR(VLOOKUP(T21,エネルギーシェア!$B$4:$I$23,8,FALSE),"")</f>
        <v>45.2</v>
      </c>
      <c r="V21" s="485" t="s">
        <v>518</v>
      </c>
      <c r="W21" s="856" t="s">
        <v>309</v>
      </c>
      <c r="X21" s="857"/>
      <c r="Y21" s="857"/>
      <c r="Z21" s="858"/>
      <c r="AA21" s="232" t="str">
        <f>IF(対策チェック!AH5="","",対策チェック!AH5)</f>
        <v/>
      </c>
      <c r="AB21" s="234">
        <f ca="1">IFERROR(OFFSET($AJ21,0,MATCH($AA21,$AC21:$AI21,0)-1),1)</f>
        <v>1</v>
      </c>
      <c r="AC21" s="223" t="s">
        <v>330</v>
      </c>
      <c r="AD21" s="223" t="s">
        <v>519</v>
      </c>
      <c r="AE21" s="223" t="s">
        <v>311</v>
      </c>
      <c r="AF21" s="223" t="s">
        <v>520</v>
      </c>
      <c r="AG21" s="224" t="s">
        <v>310</v>
      </c>
      <c r="AH21" s="225" t="s">
        <v>313</v>
      </c>
      <c r="AI21" s="225" t="s">
        <v>312</v>
      </c>
      <c r="AJ21" s="196">
        <v>1</v>
      </c>
      <c r="AK21" s="196">
        <v>0.75</v>
      </c>
      <c r="AL21" s="196">
        <v>0.5</v>
      </c>
      <c r="AM21" s="196">
        <v>0.25</v>
      </c>
      <c r="AN21" s="403">
        <v>0.1</v>
      </c>
      <c r="AO21" s="403">
        <v>0</v>
      </c>
      <c r="AP21" s="235">
        <f>X14</f>
        <v>1</v>
      </c>
    </row>
    <row r="22" spans="2:42" ht="44.25" customHeight="1">
      <c r="B22" s="865"/>
      <c r="C22" s="148">
        <v>18</v>
      </c>
      <c r="D22" s="160" t="s">
        <v>13</v>
      </c>
      <c r="E22" s="497" t="s">
        <v>600</v>
      </c>
      <c r="F22" s="401" t="s">
        <v>199</v>
      </c>
      <c r="G22" s="401" t="s">
        <v>199</v>
      </c>
      <c r="H22" s="289" t="s">
        <v>379</v>
      </c>
      <c r="I22" s="500">
        <v>5.0000000000000001E-3</v>
      </c>
      <c r="J22" s="160" t="s">
        <v>502</v>
      </c>
      <c r="K22" s="407" t="s">
        <v>503</v>
      </c>
      <c r="L22" s="501" t="s">
        <v>504</v>
      </c>
      <c r="M22" s="307">
        <v>1</v>
      </c>
      <c r="N22" s="299">
        <v>1</v>
      </c>
      <c r="O22" s="176">
        <f t="shared" si="0"/>
        <v>5.0000000000000001E-3</v>
      </c>
      <c r="P22" s="299"/>
      <c r="Q22" s="406"/>
      <c r="R22" s="473">
        <f ca="1">メイン!K36</f>
        <v>0.45200000000000001</v>
      </c>
      <c r="S22" s="404" t="str">
        <f>メイン!O36</f>
        <v>熱負荷</v>
      </c>
      <c r="T22" s="407" t="s">
        <v>660</v>
      </c>
      <c r="U22" s="486">
        <f ca="1">IFERROR(VLOOKUP(T22,エネルギーシェア!$B$4:$I$23,8,FALSE),"")</f>
        <v>45.2</v>
      </c>
      <c r="V22" s="873" t="s">
        <v>521</v>
      </c>
      <c r="W22" s="873"/>
      <c r="X22" s="873"/>
      <c r="Y22" s="873"/>
      <c r="Z22" s="873"/>
      <c r="AA22" s="873"/>
      <c r="AB22" s="873"/>
      <c r="AG22" s="138"/>
      <c r="AH22" s="138"/>
      <c r="AI22" s="138"/>
      <c r="AJ22" s="138"/>
      <c r="AK22" s="138"/>
      <c r="AL22" s="138"/>
    </row>
    <row r="23" spans="2:42" ht="39.75" customHeight="1">
      <c r="B23" s="865"/>
      <c r="C23" s="148">
        <v>19</v>
      </c>
      <c r="D23" s="160" t="s">
        <v>725</v>
      </c>
      <c r="E23" s="499" t="s">
        <v>704</v>
      </c>
      <c r="F23" s="402" t="s">
        <v>204</v>
      </c>
      <c r="G23" s="402" t="s">
        <v>199</v>
      </c>
      <c r="H23" s="291" t="s">
        <v>380</v>
      </c>
      <c r="I23" s="500">
        <v>1.4999999999999999E-2</v>
      </c>
      <c r="J23" s="160" t="s">
        <v>502</v>
      </c>
      <c r="K23" s="407" t="s">
        <v>412</v>
      </c>
      <c r="L23" s="501" t="s">
        <v>173</v>
      </c>
      <c r="M23" s="307">
        <v>1</v>
      </c>
      <c r="N23" s="296">
        <v>1</v>
      </c>
      <c r="O23" s="173">
        <f t="shared" si="0"/>
        <v>1.4999999999999999E-2</v>
      </c>
      <c r="P23" s="307"/>
      <c r="Q23" s="406"/>
      <c r="R23" s="473">
        <f ca="1">メイン!K37</f>
        <v>0.13600000000000001</v>
      </c>
      <c r="S23" s="404" t="str">
        <f>メイン!O37</f>
        <v>外気</v>
      </c>
      <c r="T23" s="407" t="s">
        <v>664</v>
      </c>
      <c r="U23" s="486">
        <f ca="1">IFERROR(VLOOKUP(T23,エネルギーシェア!$B$4:$I$23,8,FALSE),"")</f>
        <v>13.600000000000001</v>
      </c>
    </row>
    <row r="24" spans="2:42" ht="30" customHeight="1">
      <c r="B24" s="866"/>
      <c r="C24" s="148">
        <v>20</v>
      </c>
      <c r="D24" s="160" t="s">
        <v>381</v>
      </c>
      <c r="E24" s="499" t="s">
        <v>501</v>
      </c>
      <c r="F24" s="402" t="s">
        <v>204</v>
      </c>
      <c r="G24" s="402" t="s">
        <v>204</v>
      </c>
      <c r="H24" s="292" t="s">
        <v>382</v>
      </c>
      <c r="I24" s="500">
        <v>2E-3</v>
      </c>
      <c r="J24" s="160" t="s">
        <v>502</v>
      </c>
      <c r="K24" s="407" t="s">
        <v>383</v>
      </c>
      <c r="L24" s="501" t="s">
        <v>265</v>
      </c>
      <c r="M24" s="296">
        <v>1</v>
      </c>
      <c r="N24" s="306">
        <v>1</v>
      </c>
      <c r="O24" s="173">
        <f t="shared" si="0"/>
        <v>2E-3</v>
      </c>
      <c r="P24" s="296"/>
      <c r="Q24" s="406"/>
      <c r="R24" s="473">
        <f ca="1">メイン!K38</f>
        <v>0.25800000000000001</v>
      </c>
      <c r="S24" s="404" t="str">
        <f>メイン!O38</f>
        <v>熱源</v>
      </c>
      <c r="T24" s="407" t="s">
        <v>45</v>
      </c>
      <c r="U24" s="486">
        <f ca="1">IFERROR(VLOOKUP(T24,エネルギーシェア!$B$4:$I$23,8,FALSE),"")</f>
        <v>25.8</v>
      </c>
    </row>
    <row r="25" spans="2:42" ht="31.5">
      <c r="B25" s="864" t="s">
        <v>389</v>
      </c>
      <c r="C25" s="148">
        <v>21</v>
      </c>
      <c r="D25" s="160" t="s">
        <v>384</v>
      </c>
      <c r="E25" s="497" t="s">
        <v>698</v>
      </c>
      <c r="F25" s="401" t="s">
        <v>204</v>
      </c>
      <c r="G25" s="401" t="s">
        <v>204</v>
      </c>
      <c r="H25" s="289" t="s">
        <v>510</v>
      </c>
      <c r="I25" s="500">
        <v>1.4999999999999999E-2</v>
      </c>
      <c r="J25" s="160" t="s">
        <v>555</v>
      </c>
      <c r="K25" s="407" t="s">
        <v>171</v>
      </c>
      <c r="L25" s="501" t="s">
        <v>693</v>
      </c>
      <c r="M25" s="296">
        <v>1</v>
      </c>
      <c r="N25" s="179">
        <f ca="1">$AB$20</f>
        <v>1</v>
      </c>
      <c r="O25" s="173">
        <f t="shared" ca="1" si="0"/>
        <v>1.4999999999999999E-2</v>
      </c>
      <c r="P25" s="147" t="s">
        <v>460</v>
      </c>
      <c r="Q25" s="406"/>
      <c r="R25" s="473">
        <f ca="1">メイン!K39</f>
        <v>0.45200000000000001</v>
      </c>
      <c r="S25" s="404" t="str">
        <f>メイン!O39</f>
        <v>熱負荷</v>
      </c>
      <c r="T25" s="407" t="s">
        <v>665</v>
      </c>
      <c r="U25" s="486">
        <f ca="1">IFERROR(VLOOKUP(T25,エネルギーシェア!$B$4:$I$23,8,FALSE),"")</f>
        <v>45.2</v>
      </c>
      <c r="V25" s="238" t="s">
        <v>322</v>
      </c>
      <c r="W25" s="239"/>
      <c r="X25" s="239"/>
      <c r="Y25" s="239"/>
      <c r="Z25" s="239"/>
      <c r="AG25" s="138"/>
      <c r="AH25" s="138"/>
      <c r="AI25" s="138"/>
      <c r="AJ25" s="138"/>
      <c r="AK25" s="138"/>
      <c r="AL25" s="138"/>
    </row>
    <row r="26" spans="2:42" ht="31.5" customHeight="1">
      <c r="B26" s="865"/>
      <c r="C26" s="148">
        <v>22</v>
      </c>
      <c r="D26" s="160" t="s">
        <v>599</v>
      </c>
      <c r="E26" s="497" t="s">
        <v>598</v>
      </c>
      <c r="F26" s="401" t="s">
        <v>199</v>
      </c>
      <c r="G26" s="401" t="s">
        <v>199</v>
      </c>
      <c r="H26" s="289" t="s">
        <v>213</v>
      </c>
      <c r="I26" s="500">
        <f>0.015/4</f>
        <v>3.7499999999999999E-3</v>
      </c>
      <c r="J26" s="160" t="s">
        <v>502</v>
      </c>
      <c r="K26" s="407" t="s">
        <v>171</v>
      </c>
      <c r="L26" s="501" t="s">
        <v>694</v>
      </c>
      <c r="M26" s="299">
        <v>1</v>
      </c>
      <c r="N26" s="179">
        <f ca="1">$AB$20</f>
        <v>1</v>
      </c>
      <c r="O26" s="176">
        <f t="shared" ca="1" si="0"/>
        <v>3.7499999999999999E-3</v>
      </c>
      <c r="P26" s="147" t="s">
        <v>460</v>
      </c>
      <c r="Q26" s="406" t="s">
        <v>618</v>
      </c>
      <c r="R26" s="473">
        <f ca="1">メイン!K40</f>
        <v>0.25800000000000001</v>
      </c>
      <c r="S26" s="404" t="str">
        <f>メイン!O40</f>
        <v>熱源</v>
      </c>
      <c r="T26" s="407" t="s">
        <v>45</v>
      </c>
      <c r="U26" s="486">
        <f ca="1">IFERROR(VLOOKUP(T26,エネルギーシェア!$B$4:$I$23,8,FALSE),"")</f>
        <v>25.8</v>
      </c>
      <c r="V26" s="871" t="s">
        <v>323</v>
      </c>
      <c r="W26" s="860" t="s">
        <v>329</v>
      </c>
      <c r="X26" s="860"/>
      <c r="Y26" s="860"/>
      <c r="Z26" s="860"/>
      <c r="AG26" s="138"/>
      <c r="AH26" s="138"/>
      <c r="AI26" s="138"/>
      <c r="AJ26" s="138"/>
      <c r="AK26" s="138"/>
      <c r="AL26" s="138"/>
    </row>
    <row r="27" spans="2:42" ht="39.75" customHeight="1">
      <c r="B27" s="865"/>
      <c r="C27" s="148">
        <v>23</v>
      </c>
      <c r="D27" s="160" t="s">
        <v>385</v>
      </c>
      <c r="E27" s="497" t="s">
        <v>671</v>
      </c>
      <c r="F27" s="401" t="s">
        <v>199</v>
      </c>
      <c r="G27" s="401" t="s">
        <v>199</v>
      </c>
      <c r="H27" s="289"/>
      <c r="I27" s="502">
        <v>2.5000000000000001E-2</v>
      </c>
      <c r="J27" s="160" t="s">
        <v>502</v>
      </c>
      <c r="K27" s="147" t="s">
        <v>386</v>
      </c>
      <c r="L27" s="501" t="s">
        <v>556</v>
      </c>
      <c r="M27" s="299">
        <v>1</v>
      </c>
      <c r="N27" s="179">
        <f ca="1">$AB$20</f>
        <v>1</v>
      </c>
      <c r="O27" s="176">
        <f t="shared" ca="1" si="0"/>
        <v>2.5000000000000001E-2</v>
      </c>
      <c r="P27" s="299" t="s">
        <v>460</v>
      </c>
      <c r="Q27" s="404"/>
      <c r="R27" s="473">
        <f ca="1">メイン!K41</f>
        <v>0.25800000000000001</v>
      </c>
      <c r="S27" s="404" t="str">
        <f>メイン!O41</f>
        <v>熱源</v>
      </c>
      <c r="T27" s="407" t="s">
        <v>45</v>
      </c>
      <c r="U27" s="486">
        <f ca="1">IFERROR(VLOOKUP(T27,エネルギーシェア!$B$4:$I$23,8,FALSE),"")</f>
        <v>25.8</v>
      </c>
      <c r="V27" s="871"/>
      <c r="W27" s="859" t="s">
        <v>328</v>
      </c>
      <c r="X27" s="859"/>
      <c r="Y27" s="859"/>
      <c r="Z27" s="859"/>
      <c r="AG27" s="138"/>
      <c r="AH27" s="138"/>
      <c r="AI27" s="138"/>
      <c r="AJ27" s="138"/>
      <c r="AK27" s="138"/>
      <c r="AL27" s="138"/>
    </row>
    <row r="28" spans="2:42" ht="45.75" customHeight="1">
      <c r="B28" s="865"/>
      <c r="C28" s="148">
        <v>24</v>
      </c>
      <c r="D28" s="160" t="s">
        <v>387</v>
      </c>
      <c r="E28" s="497" t="s">
        <v>534</v>
      </c>
      <c r="F28" s="401" t="s">
        <v>204</v>
      </c>
      <c r="G28" s="401" t="s">
        <v>204</v>
      </c>
      <c r="H28" s="289" t="s">
        <v>214</v>
      </c>
      <c r="I28" s="500">
        <v>2E-3</v>
      </c>
      <c r="J28" s="160" t="s">
        <v>502</v>
      </c>
      <c r="K28" s="147" t="s">
        <v>383</v>
      </c>
      <c r="L28" s="501" t="s">
        <v>265</v>
      </c>
      <c r="M28" s="299">
        <v>1</v>
      </c>
      <c r="N28" s="179">
        <f ca="1">$AB$20</f>
        <v>1</v>
      </c>
      <c r="O28" s="176">
        <f t="shared" ca="1" si="0"/>
        <v>2E-3</v>
      </c>
      <c r="P28" s="299" t="s">
        <v>460</v>
      </c>
      <c r="Q28" s="406" t="s">
        <v>618</v>
      </c>
      <c r="R28" s="473">
        <f ca="1">メイン!K42</f>
        <v>0.25800000000000001</v>
      </c>
      <c r="S28" s="404" t="str">
        <f>メイン!O42</f>
        <v>熱源</v>
      </c>
      <c r="T28" s="147" t="s">
        <v>45</v>
      </c>
      <c r="U28" s="486">
        <f ca="1">IFERROR(VLOOKUP(T28,エネルギーシェア!$B$4:$I$23,8,FALSE),"")</f>
        <v>25.8</v>
      </c>
      <c r="V28" s="240" t="s">
        <v>523</v>
      </c>
      <c r="W28" s="241"/>
      <c r="X28" s="242"/>
      <c r="Y28" s="238"/>
      <c r="Z28" s="238"/>
      <c r="AG28" s="855"/>
      <c r="AH28" s="855"/>
      <c r="AI28" s="855"/>
      <c r="AJ28" s="855"/>
      <c r="AK28" s="855"/>
      <c r="AL28" s="138"/>
    </row>
    <row r="29" spans="2:42" ht="63" customHeight="1">
      <c r="B29" s="866"/>
      <c r="C29" s="148">
        <v>25</v>
      </c>
      <c r="D29" s="160" t="s">
        <v>174</v>
      </c>
      <c r="E29" s="160" t="s">
        <v>500</v>
      </c>
      <c r="F29" s="404" t="s">
        <v>204</v>
      </c>
      <c r="G29" s="404" t="s">
        <v>204</v>
      </c>
      <c r="H29" s="293" t="s">
        <v>388</v>
      </c>
      <c r="I29" s="500">
        <v>2.5000000000000001E-2</v>
      </c>
      <c r="J29" s="160" t="s">
        <v>502</v>
      </c>
      <c r="K29" s="407" t="s">
        <v>386</v>
      </c>
      <c r="L29" s="501" t="s">
        <v>556</v>
      </c>
      <c r="M29" s="299">
        <v>1</v>
      </c>
      <c r="N29" s="179">
        <f ca="1">$AB$20</f>
        <v>1</v>
      </c>
      <c r="O29" s="176">
        <f t="shared" ca="1" si="0"/>
        <v>2.5000000000000001E-2</v>
      </c>
      <c r="P29" s="147" t="s">
        <v>460</v>
      </c>
      <c r="Q29" s="406"/>
      <c r="R29" s="473">
        <f ca="1">メイン!K43</f>
        <v>0.25800000000000001</v>
      </c>
      <c r="S29" s="404" t="str">
        <f>メイン!O43</f>
        <v>熱源</v>
      </c>
      <c r="T29" s="407" t="s">
        <v>45</v>
      </c>
      <c r="U29" s="486">
        <f ca="1">IFERROR(VLOOKUP(T29,エネルギーシェア!$B$4:$I$23,8,FALSE),"")</f>
        <v>25.8</v>
      </c>
      <c r="V29" s="861" t="s">
        <v>326</v>
      </c>
      <c r="W29" s="860" t="s">
        <v>331</v>
      </c>
      <c r="X29" s="860"/>
      <c r="Y29" s="860"/>
      <c r="Z29" s="860"/>
      <c r="AA29" s="207"/>
      <c r="AB29" s="207"/>
      <c r="AC29" s="207"/>
      <c r="AD29" s="207"/>
      <c r="AE29" s="207"/>
      <c r="AF29" s="207"/>
      <c r="AG29" s="207"/>
    </row>
    <row r="30" spans="2:42" ht="45.75" customHeight="1">
      <c r="B30" s="864" t="s">
        <v>390</v>
      </c>
      <c r="C30" s="148">
        <v>26</v>
      </c>
      <c r="D30" s="160" t="s">
        <v>10</v>
      </c>
      <c r="E30" s="160" t="s">
        <v>535</v>
      </c>
      <c r="F30" s="404" t="s">
        <v>204</v>
      </c>
      <c r="G30" s="404" t="s">
        <v>204</v>
      </c>
      <c r="H30" s="293" t="s">
        <v>391</v>
      </c>
      <c r="I30" s="500">
        <v>1.4999999999999999E-2</v>
      </c>
      <c r="J30" s="160" t="s">
        <v>502</v>
      </c>
      <c r="K30" s="407" t="s">
        <v>392</v>
      </c>
      <c r="L30" s="501" t="s">
        <v>167</v>
      </c>
      <c r="M30" s="296">
        <v>1</v>
      </c>
      <c r="N30" s="297">
        <f t="shared" ref="N30:N39" ca="1" si="1">$AB$19</f>
        <v>0</v>
      </c>
      <c r="O30" s="173">
        <f t="shared" ca="1" si="0"/>
        <v>0</v>
      </c>
      <c r="P30" s="296" t="s">
        <v>45</v>
      </c>
      <c r="Q30" s="406"/>
      <c r="R30" s="473">
        <f ca="1">メイン!K44</f>
        <v>0.25800000000000001</v>
      </c>
      <c r="S30" s="404" t="str">
        <f>メイン!O44</f>
        <v>熱源</v>
      </c>
      <c r="T30" s="407" t="s">
        <v>45</v>
      </c>
      <c r="U30" s="486">
        <f ca="1">IFERROR(VLOOKUP(T30,エネルギーシェア!$B$4:$I$23,8,FALSE),"")</f>
        <v>25.8</v>
      </c>
      <c r="V30" s="861"/>
      <c r="W30" s="859" t="s">
        <v>328</v>
      </c>
      <c r="X30" s="859"/>
      <c r="Y30" s="859"/>
      <c r="Z30" s="859"/>
    </row>
    <row r="31" spans="2:42" ht="30" customHeight="1">
      <c r="B31" s="865"/>
      <c r="C31" s="148">
        <v>27</v>
      </c>
      <c r="D31" s="160" t="s">
        <v>11</v>
      </c>
      <c r="E31" s="160" t="s">
        <v>498</v>
      </c>
      <c r="F31" s="404" t="s">
        <v>204</v>
      </c>
      <c r="G31" s="404" t="s">
        <v>204</v>
      </c>
      <c r="H31" s="293" t="s">
        <v>391</v>
      </c>
      <c r="I31" s="500">
        <v>1.6E-2</v>
      </c>
      <c r="J31" s="160" t="s">
        <v>502</v>
      </c>
      <c r="K31" s="407" t="s">
        <v>393</v>
      </c>
      <c r="L31" s="501" t="s">
        <v>168</v>
      </c>
      <c r="M31" s="296">
        <v>1</v>
      </c>
      <c r="N31" s="297">
        <f t="shared" ca="1" si="1"/>
        <v>0</v>
      </c>
      <c r="O31" s="173">
        <f t="shared" ca="1" si="0"/>
        <v>0</v>
      </c>
      <c r="P31" s="296" t="s">
        <v>45</v>
      </c>
      <c r="Q31" s="406"/>
      <c r="R31" s="473">
        <f ca="1">メイン!K45</f>
        <v>0.25800000000000001</v>
      </c>
      <c r="S31" s="404" t="str">
        <f>メイン!O45</f>
        <v>熱源</v>
      </c>
      <c r="T31" s="407" t="s">
        <v>45</v>
      </c>
      <c r="U31" s="486">
        <f ca="1">IFERROR(VLOOKUP(T31,エネルギーシェア!$B$4:$I$23,8,FALSE),"")</f>
        <v>25.8</v>
      </c>
      <c r="V31" s="238" t="s">
        <v>524</v>
      </c>
      <c r="W31" s="239"/>
      <c r="X31" s="239"/>
      <c r="Y31" s="239"/>
      <c r="Z31" s="239"/>
    </row>
    <row r="32" spans="2:42" ht="36" customHeight="1">
      <c r="B32" s="865"/>
      <c r="C32" s="148">
        <v>28</v>
      </c>
      <c r="D32" s="160" t="s">
        <v>9</v>
      </c>
      <c r="E32" s="160" t="s">
        <v>726</v>
      </c>
      <c r="F32" s="404" t="s">
        <v>204</v>
      </c>
      <c r="G32" s="404" t="s">
        <v>204</v>
      </c>
      <c r="H32" s="293" t="s">
        <v>209</v>
      </c>
      <c r="I32" s="502">
        <v>0.03</v>
      </c>
      <c r="J32" s="160" t="s">
        <v>502</v>
      </c>
      <c r="K32" s="147" t="s">
        <v>394</v>
      </c>
      <c r="L32" s="501" t="s">
        <v>395</v>
      </c>
      <c r="M32" s="296">
        <v>1</v>
      </c>
      <c r="N32" s="297">
        <f t="shared" ca="1" si="1"/>
        <v>0</v>
      </c>
      <c r="O32" s="173">
        <f t="shared" ca="1" si="0"/>
        <v>0</v>
      </c>
      <c r="P32" s="296" t="s">
        <v>45</v>
      </c>
      <c r="Q32" s="406" t="s">
        <v>618</v>
      </c>
      <c r="R32" s="473">
        <f ca="1">メイン!K46</f>
        <v>0.25800000000000001</v>
      </c>
      <c r="S32" s="404" t="str">
        <f>メイン!O46</f>
        <v>熱源</v>
      </c>
      <c r="T32" s="147" t="s">
        <v>45</v>
      </c>
      <c r="U32" s="486">
        <f ca="1">IFERROR(VLOOKUP(T32,エネルギーシェア!$B$4:$I$23,8,FALSE),"")</f>
        <v>25.8</v>
      </c>
      <c r="V32" s="861" t="s">
        <v>327</v>
      </c>
      <c r="W32" s="862" t="s">
        <v>324</v>
      </c>
      <c r="X32" s="862"/>
      <c r="Y32" s="862"/>
      <c r="Z32" s="862"/>
    </row>
    <row r="33" spans="2:60" ht="41.25" customHeight="1">
      <c r="B33" s="865"/>
      <c r="C33" s="148">
        <v>29</v>
      </c>
      <c r="D33" s="160" t="s">
        <v>399</v>
      </c>
      <c r="E33" s="160" t="s">
        <v>536</v>
      </c>
      <c r="F33" s="404" t="s">
        <v>204</v>
      </c>
      <c r="G33" s="404" t="s">
        <v>204</v>
      </c>
      <c r="H33" s="293" t="s">
        <v>396</v>
      </c>
      <c r="I33" s="500">
        <v>0.03</v>
      </c>
      <c r="J33" s="160" t="s">
        <v>502</v>
      </c>
      <c r="K33" s="407" t="s">
        <v>394</v>
      </c>
      <c r="L33" s="501" t="s">
        <v>505</v>
      </c>
      <c r="M33" s="307">
        <v>1</v>
      </c>
      <c r="N33" s="297">
        <f t="shared" ca="1" si="1"/>
        <v>0</v>
      </c>
      <c r="O33" s="173">
        <f t="shared" ca="1" si="0"/>
        <v>0</v>
      </c>
      <c r="P33" s="296" t="s">
        <v>45</v>
      </c>
      <c r="Q33" s="406"/>
      <c r="R33" s="473">
        <f ca="1">メイン!K47</f>
        <v>0.25800000000000001</v>
      </c>
      <c r="S33" s="404" t="str">
        <f>メイン!O47</f>
        <v>熱源</v>
      </c>
      <c r="T33" s="407" t="s">
        <v>45</v>
      </c>
      <c r="U33" s="486">
        <f ca="1">IFERROR(VLOOKUP(T33,エネルギーシェア!$B$4:$I$23,8,FALSE),"")</f>
        <v>25.8</v>
      </c>
      <c r="V33" s="861"/>
      <c r="W33" s="863" t="s">
        <v>325</v>
      </c>
      <c r="X33" s="863"/>
      <c r="Y33" s="863"/>
      <c r="Z33" s="863"/>
    </row>
    <row r="34" spans="2:60" ht="42.75" customHeight="1">
      <c r="B34" s="865"/>
      <c r="C34" s="148">
        <v>30</v>
      </c>
      <c r="D34" s="160" t="s">
        <v>8</v>
      </c>
      <c r="E34" s="160" t="s">
        <v>537</v>
      </c>
      <c r="F34" s="404" t="s">
        <v>204</v>
      </c>
      <c r="G34" s="404" t="s">
        <v>204</v>
      </c>
      <c r="H34" s="293" t="s">
        <v>397</v>
      </c>
      <c r="I34" s="500">
        <v>0.02</v>
      </c>
      <c r="J34" s="160" t="s">
        <v>502</v>
      </c>
      <c r="K34" s="407" t="s">
        <v>398</v>
      </c>
      <c r="L34" s="501" t="s">
        <v>166</v>
      </c>
      <c r="M34" s="296">
        <v>1</v>
      </c>
      <c r="N34" s="297">
        <f t="shared" ca="1" si="1"/>
        <v>0</v>
      </c>
      <c r="O34" s="173">
        <f t="shared" ca="1" si="0"/>
        <v>0</v>
      </c>
      <c r="P34" s="296" t="s">
        <v>45</v>
      </c>
      <c r="Q34" s="406" t="s">
        <v>618</v>
      </c>
      <c r="R34" s="473">
        <f ca="1">メイン!K48</f>
        <v>0.25800000000000001</v>
      </c>
      <c r="S34" s="404" t="str">
        <f>メイン!O48</f>
        <v>熱源</v>
      </c>
      <c r="T34" s="147" t="s">
        <v>45</v>
      </c>
      <c r="U34" s="486">
        <f ca="1">IFERROR(VLOOKUP(T34,エネルギーシェア!$B$4:$I$23,8,FALSE),"")</f>
        <v>25.8</v>
      </c>
    </row>
    <row r="35" spans="2:60" ht="33" customHeight="1">
      <c r="B35" s="865"/>
      <c r="C35" s="148">
        <v>31</v>
      </c>
      <c r="D35" s="160" t="s">
        <v>400</v>
      </c>
      <c r="E35" s="160" t="s">
        <v>538</v>
      </c>
      <c r="F35" s="404" t="s">
        <v>204</v>
      </c>
      <c r="G35" s="404" t="s">
        <v>204</v>
      </c>
      <c r="H35" s="293" t="s">
        <v>210</v>
      </c>
      <c r="I35" s="500">
        <v>0.12</v>
      </c>
      <c r="J35" s="160" t="s">
        <v>502</v>
      </c>
      <c r="K35" s="407" t="s">
        <v>401</v>
      </c>
      <c r="L35" s="501" t="s">
        <v>264</v>
      </c>
      <c r="M35" s="296">
        <v>1</v>
      </c>
      <c r="N35" s="297">
        <f t="shared" ca="1" si="1"/>
        <v>0</v>
      </c>
      <c r="O35" s="173">
        <f t="shared" ca="1" si="0"/>
        <v>0</v>
      </c>
      <c r="P35" s="296" t="s">
        <v>45</v>
      </c>
      <c r="Q35" s="406"/>
      <c r="R35" s="473">
        <f ca="1">メイン!K49</f>
        <v>3.1E-2</v>
      </c>
      <c r="S35" s="404" t="str">
        <f>メイン!O49</f>
        <v>空調ポンプ</v>
      </c>
      <c r="T35" s="407" t="s">
        <v>47</v>
      </c>
      <c r="U35" s="486">
        <f ca="1">IFERROR(VLOOKUP(T35,エネルギーシェア!$B$4:$I$23,8,FALSE),"")</f>
        <v>3.1</v>
      </c>
    </row>
    <row r="36" spans="2:60" ht="36.75" customHeight="1">
      <c r="B36" s="865"/>
      <c r="C36" s="148">
        <v>32</v>
      </c>
      <c r="D36" s="160" t="s">
        <v>402</v>
      </c>
      <c r="E36" s="160" t="s">
        <v>596</v>
      </c>
      <c r="F36" s="404" t="s">
        <v>204</v>
      </c>
      <c r="G36" s="404" t="s">
        <v>204</v>
      </c>
      <c r="H36" s="293" t="s">
        <v>403</v>
      </c>
      <c r="I36" s="500">
        <v>0.12</v>
      </c>
      <c r="J36" s="160" t="s">
        <v>502</v>
      </c>
      <c r="K36" s="407" t="s">
        <v>401</v>
      </c>
      <c r="L36" s="501" t="s">
        <v>506</v>
      </c>
      <c r="M36" s="401">
        <v>1</v>
      </c>
      <c r="N36" s="297">
        <f t="shared" ca="1" si="1"/>
        <v>0</v>
      </c>
      <c r="O36" s="173">
        <f t="shared" ca="1" si="0"/>
        <v>0</v>
      </c>
      <c r="P36" s="296" t="s">
        <v>45</v>
      </c>
      <c r="Q36" s="406"/>
      <c r="R36" s="473">
        <f ca="1">メイン!K50</f>
        <v>3.1E-2</v>
      </c>
      <c r="S36" s="404" t="str">
        <f>メイン!O50</f>
        <v>空調ポンプ</v>
      </c>
      <c r="T36" s="407" t="s">
        <v>47</v>
      </c>
      <c r="U36" s="486">
        <f ca="1">IFERROR(VLOOKUP(T36,エネルギーシェア!$B$4:$I$23,8,FALSE),"")</f>
        <v>3.1</v>
      </c>
    </row>
    <row r="37" spans="2:60" ht="30" customHeight="1">
      <c r="B37" s="865"/>
      <c r="C37" s="148">
        <v>33</v>
      </c>
      <c r="D37" s="160" t="s">
        <v>404</v>
      </c>
      <c r="E37" s="160" t="s">
        <v>597</v>
      </c>
      <c r="F37" s="404" t="s">
        <v>204</v>
      </c>
      <c r="G37" s="404" t="s">
        <v>204</v>
      </c>
      <c r="H37" s="293" t="s">
        <v>406</v>
      </c>
      <c r="I37" s="500">
        <v>0.12</v>
      </c>
      <c r="J37" s="160" t="s">
        <v>502</v>
      </c>
      <c r="K37" s="147" t="s">
        <v>401</v>
      </c>
      <c r="L37" s="501" t="s">
        <v>264</v>
      </c>
      <c r="M37" s="296">
        <v>1</v>
      </c>
      <c r="N37" s="297">
        <f t="shared" ca="1" si="1"/>
        <v>0</v>
      </c>
      <c r="O37" s="173">
        <f t="shared" ca="1" si="0"/>
        <v>0</v>
      </c>
      <c r="P37" s="296" t="s">
        <v>45</v>
      </c>
      <c r="Q37" s="406"/>
      <c r="R37" s="473">
        <f ca="1">メイン!K51</f>
        <v>3.1E-2</v>
      </c>
      <c r="S37" s="404" t="str">
        <f>メイン!O51</f>
        <v>空調ポンプ</v>
      </c>
      <c r="T37" s="407" t="s">
        <v>47</v>
      </c>
      <c r="U37" s="486">
        <f ca="1">IFERROR(VLOOKUP(T37,エネルギーシェア!$B$4:$I$23,8,FALSE),"")</f>
        <v>3.1</v>
      </c>
    </row>
    <row r="38" spans="2:60" ht="30" customHeight="1">
      <c r="B38" s="865"/>
      <c r="C38" s="148">
        <v>34</v>
      </c>
      <c r="D38" s="160" t="s">
        <v>405</v>
      </c>
      <c r="E38" s="160" t="s">
        <v>539</v>
      </c>
      <c r="F38" s="404" t="s">
        <v>204</v>
      </c>
      <c r="G38" s="404" t="s">
        <v>204</v>
      </c>
      <c r="H38" s="293" t="s">
        <v>511</v>
      </c>
      <c r="I38" s="500">
        <v>5.0000000000000001E-3</v>
      </c>
      <c r="J38" s="160" t="s">
        <v>502</v>
      </c>
      <c r="K38" s="407" t="s">
        <v>676</v>
      </c>
      <c r="L38" s="501" t="s">
        <v>169</v>
      </c>
      <c r="M38" s="299">
        <v>1</v>
      </c>
      <c r="N38" s="179">
        <f t="shared" ca="1" si="1"/>
        <v>0</v>
      </c>
      <c r="O38" s="176">
        <f t="shared" ca="1" si="0"/>
        <v>0</v>
      </c>
      <c r="P38" s="299" t="s">
        <v>45</v>
      </c>
      <c r="Q38" s="406"/>
      <c r="R38" s="473">
        <f ca="1">メイン!K52</f>
        <v>0.25800000000000001</v>
      </c>
      <c r="S38" s="404" t="str">
        <f>メイン!O52</f>
        <v>熱源</v>
      </c>
      <c r="T38" s="407" t="s">
        <v>45</v>
      </c>
      <c r="U38" s="486">
        <f ca="1">IFERROR(VLOOKUP(T38,エネルギーシェア!$B$4:$I$23,8,FALSE),"")</f>
        <v>25.8</v>
      </c>
      <c r="BH38" s="136"/>
    </row>
    <row r="39" spans="2:60" ht="30" customHeight="1">
      <c r="B39" s="866"/>
      <c r="C39" s="148">
        <v>35</v>
      </c>
      <c r="D39" s="160" t="s">
        <v>407</v>
      </c>
      <c r="E39" s="160" t="s">
        <v>540</v>
      </c>
      <c r="F39" s="404" t="s">
        <v>204</v>
      </c>
      <c r="G39" s="404" t="s">
        <v>204</v>
      </c>
      <c r="H39" s="293" t="s">
        <v>408</v>
      </c>
      <c r="I39" s="500">
        <v>4.0000000000000001E-3</v>
      </c>
      <c r="J39" s="160" t="s">
        <v>502</v>
      </c>
      <c r="K39" s="407" t="s">
        <v>409</v>
      </c>
      <c r="L39" s="501" t="s">
        <v>170</v>
      </c>
      <c r="M39" s="296">
        <v>1</v>
      </c>
      <c r="N39" s="297">
        <f t="shared" ca="1" si="1"/>
        <v>0</v>
      </c>
      <c r="O39" s="173">
        <f t="shared" ca="1" si="0"/>
        <v>0</v>
      </c>
      <c r="P39" s="296" t="s">
        <v>45</v>
      </c>
      <c r="Q39" s="406"/>
      <c r="R39" s="473">
        <f ca="1">メイン!K53</f>
        <v>0.25800000000000001</v>
      </c>
      <c r="S39" s="404" t="str">
        <f>メイン!O53</f>
        <v>熱源</v>
      </c>
      <c r="T39" s="407" t="s">
        <v>45</v>
      </c>
      <c r="U39" s="486">
        <f ca="1">IFERROR(VLOOKUP(T39,エネルギーシェア!$B$4:$I$23,8,FALSE),"")</f>
        <v>25.8</v>
      </c>
    </row>
    <row r="40" spans="2:60" ht="39" customHeight="1">
      <c r="B40" s="864" t="s">
        <v>218</v>
      </c>
      <c r="C40" s="148">
        <v>36</v>
      </c>
      <c r="D40" s="160" t="s">
        <v>410</v>
      </c>
      <c r="E40" s="160" t="s">
        <v>705</v>
      </c>
      <c r="F40" s="404" t="s">
        <v>204</v>
      </c>
      <c r="G40" s="404" t="s">
        <v>199</v>
      </c>
      <c r="H40" s="293" t="s">
        <v>411</v>
      </c>
      <c r="I40" s="500">
        <v>9.4500000000000001E-2</v>
      </c>
      <c r="J40" s="160" t="s">
        <v>502</v>
      </c>
      <c r="K40" s="147" t="s">
        <v>682</v>
      </c>
      <c r="L40" s="501" t="s">
        <v>686</v>
      </c>
      <c r="M40" s="404">
        <v>1</v>
      </c>
      <c r="N40" s="282">
        <v>1</v>
      </c>
      <c r="O40" s="176">
        <f t="shared" si="0"/>
        <v>9.4500000000000001E-2</v>
      </c>
      <c r="P40" s="282"/>
      <c r="Q40" s="406" t="s">
        <v>618</v>
      </c>
      <c r="R40" s="473">
        <f ca="1">メイン!K54</f>
        <v>0.13600000000000001</v>
      </c>
      <c r="S40" s="404" t="str">
        <f>メイン!O54</f>
        <v>外気</v>
      </c>
      <c r="T40" s="487" t="s">
        <v>664</v>
      </c>
      <c r="U40" s="486">
        <f ca="1">IFERROR(VLOOKUP(T40,エネルギーシェア!$B$4:$I$23,8,FALSE),"")</f>
        <v>13.600000000000001</v>
      </c>
      <c r="BH40" s="136"/>
    </row>
    <row r="41" spans="2:60" ht="30" customHeight="1">
      <c r="B41" s="865"/>
      <c r="C41" s="148">
        <v>37</v>
      </c>
      <c r="D41" s="160" t="s">
        <v>413</v>
      </c>
      <c r="E41" s="497" t="s">
        <v>292</v>
      </c>
      <c r="F41" s="401" t="s">
        <v>204</v>
      </c>
      <c r="G41" s="401" t="s">
        <v>204</v>
      </c>
      <c r="H41" s="290" t="s">
        <v>219</v>
      </c>
      <c r="I41" s="500">
        <v>5.0000000000000001E-3</v>
      </c>
      <c r="J41" s="160" t="s">
        <v>502</v>
      </c>
      <c r="K41" s="407" t="s">
        <v>414</v>
      </c>
      <c r="L41" s="501" t="s">
        <v>175</v>
      </c>
      <c r="M41" s="401">
        <v>1</v>
      </c>
      <c r="N41" s="142">
        <v>1</v>
      </c>
      <c r="O41" s="173">
        <f t="shared" si="0"/>
        <v>5.0000000000000001E-3</v>
      </c>
      <c r="P41" s="142"/>
      <c r="Q41" s="406"/>
      <c r="R41" s="473">
        <f ca="1">メイン!K55</f>
        <v>0.45200000000000001</v>
      </c>
      <c r="S41" s="404" t="str">
        <f>メイン!O55</f>
        <v>熱負荷</v>
      </c>
      <c r="T41" s="407" t="s">
        <v>665</v>
      </c>
      <c r="U41" s="486">
        <f ca="1">IFERROR(VLOOKUP(T41,エネルギーシェア!$B$4:$I$23,8,FALSE),"")</f>
        <v>45.2</v>
      </c>
      <c r="BH41" s="136"/>
    </row>
    <row r="42" spans="2:60" ht="63">
      <c r="B42" s="865"/>
      <c r="C42" s="148">
        <v>38</v>
      </c>
      <c r="D42" s="160" t="s">
        <v>415</v>
      </c>
      <c r="E42" s="497" t="s">
        <v>541</v>
      </c>
      <c r="F42" s="401" t="s">
        <v>199</v>
      </c>
      <c r="G42" s="401" t="s">
        <v>199</v>
      </c>
      <c r="H42" s="289" t="s">
        <v>209</v>
      </c>
      <c r="I42" s="500">
        <v>1.4999999999999999E-2</v>
      </c>
      <c r="J42" s="160" t="s">
        <v>502</v>
      </c>
      <c r="K42" s="407" t="s">
        <v>412</v>
      </c>
      <c r="L42" s="501" t="s">
        <v>691</v>
      </c>
      <c r="M42" s="401">
        <v>1</v>
      </c>
      <c r="N42" s="296">
        <v>1</v>
      </c>
      <c r="O42" s="173">
        <f t="shared" si="0"/>
        <v>1.4999999999999999E-2</v>
      </c>
      <c r="P42" s="296"/>
      <c r="Q42" s="406"/>
      <c r="R42" s="473">
        <f ca="1">メイン!K56</f>
        <v>0.13600000000000001</v>
      </c>
      <c r="S42" s="404" t="str">
        <f>メイン!O56</f>
        <v>外気</v>
      </c>
      <c r="T42" s="407" t="s">
        <v>664</v>
      </c>
      <c r="U42" s="486">
        <f ca="1">IFERROR(VLOOKUP(T42,エネルギーシェア!$B$4:$I$23,8,FALSE),"")</f>
        <v>13.600000000000001</v>
      </c>
      <c r="BH42" s="136"/>
    </row>
    <row r="43" spans="2:60" ht="31.5">
      <c r="B43" s="865"/>
      <c r="C43" s="148">
        <v>39</v>
      </c>
      <c r="D43" s="160" t="s">
        <v>416</v>
      </c>
      <c r="E43" s="497" t="s">
        <v>542</v>
      </c>
      <c r="F43" s="401" t="s">
        <v>204</v>
      </c>
      <c r="G43" s="401" t="s">
        <v>204</v>
      </c>
      <c r="H43" s="289" t="s">
        <v>512</v>
      </c>
      <c r="I43" s="500">
        <v>1.4999999999999999E-2</v>
      </c>
      <c r="J43" s="160" t="s">
        <v>502</v>
      </c>
      <c r="K43" s="147" t="s">
        <v>412</v>
      </c>
      <c r="L43" s="501" t="s">
        <v>691</v>
      </c>
      <c r="M43" s="401">
        <v>1</v>
      </c>
      <c r="N43" s="142">
        <v>1</v>
      </c>
      <c r="O43" s="173">
        <f t="shared" si="0"/>
        <v>1.4999999999999999E-2</v>
      </c>
      <c r="P43" s="142"/>
      <c r="Q43" s="406"/>
      <c r="R43" s="473">
        <f ca="1">メイン!K57</f>
        <v>0.13600000000000001</v>
      </c>
      <c r="S43" s="147" t="str">
        <f>メイン!O57</f>
        <v>外気</v>
      </c>
      <c r="T43" s="407" t="s">
        <v>659</v>
      </c>
      <c r="U43" s="486">
        <f ca="1">IFERROR(VLOOKUP(T43,エネルギーシェア!$B$4:$I$23,8,FALSE),"")</f>
        <v>13.600000000000001</v>
      </c>
      <c r="AH43" s="136"/>
      <c r="AI43" s="136"/>
      <c r="AJ43" s="136"/>
      <c r="AK43" s="136"/>
      <c r="AL43" s="136"/>
      <c r="AM43" s="136"/>
      <c r="AN43" s="136"/>
      <c r="AO43" s="136"/>
      <c r="AP43" s="136"/>
      <c r="BH43" s="136"/>
    </row>
    <row r="44" spans="2:60" ht="30" customHeight="1">
      <c r="B44" s="865"/>
      <c r="C44" s="148">
        <v>40</v>
      </c>
      <c r="D44" s="160" t="s">
        <v>727</v>
      </c>
      <c r="E44" s="497" t="s">
        <v>736</v>
      </c>
      <c r="F44" s="401" t="s">
        <v>204</v>
      </c>
      <c r="G44" s="401" t="s">
        <v>204</v>
      </c>
      <c r="H44" s="289" t="s">
        <v>220</v>
      </c>
      <c r="I44" s="500">
        <v>3.5000000000000003E-2</v>
      </c>
      <c r="J44" s="160" t="s">
        <v>502</v>
      </c>
      <c r="K44" s="147" t="s">
        <v>417</v>
      </c>
      <c r="L44" s="501" t="s">
        <v>176</v>
      </c>
      <c r="M44" s="401">
        <v>1</v>
      </c>
      <c r="N44" s="296">
        <v>1</v>
      </c>
      <c r="O44" s="173">
        <f t="shared" si="0"/>
        <v>3.5000000000000003E-2</v>
      </c>
      <c r="P44" s="296"/>
      <c r="Q44" s="406" t="s">
        <v>618</v>
      </c>
      <c r="R44" s="473">
        <f ca="1">メイン!K58</f>
        <v>6.2E-2</v>
      </c>
      <c r="S44" s="404" t="str">
        <f>メイン!O58</f>
        <v>換気</v>
      </c>
      <c r="T44" s="407" t="s">
        <v>52</v>
      </c>
      <c r="U44" s="486">
        <f ca="1">IFERROR(VLOOKUP(T44,エネルギーシェア!$B$4:$I$23,8,FALSE),"")</f>
        <v>6.2</v>
      </c>
      <c r="AH44" s="136"/>
      <c r="AI44" s="136"/>
      <c r="AJ44" s="136"/>
      <c r="AK44" s="136"/>
      <c r="AL44" s="136"/>
      <c r="AM44" s="136"/>
      <c r="AN44" s="136"/>
      <c r="AO44" s="136"/>
      <c r="AP44" s="136"/>
      <c r="BH44" s="136"/>
    </row>
    <row r="45" spans="2:60" ht="30" customHeight="1">
      <c r="B45" s="865"/>
      <c r="C45" s="148">
        <v>41</v>
      </c>
      <c r="D45" s="160" t="s">
        <v>19</v>
      </c>
      <c r="E45" s="497" t="s">
        <v>728</v>
      </c>
      <c r="F45" s="401" t="s">
        <v>204</v>
      </c>
      <c r="G45" s="401" t="s">
        <v>199</v>
      </c>
      <c r="H45" s="289" t="s">
        <v>418</v>
      </c>
      <c r="I45" s="500">
        <v>0.05</v>
      </c>
      <c r="J45" s="160" t="s">
        <v>502</v>
      </c>
      <c r="K45" s="407" t="s">
        <v>419</v>
      </c>
      <c r="L45" s="501" t="s">
        <v>177</v>
      </c>
      <c r="M45" s="401">
        <v>1</v>
      </c>
      <c r="N45" s="296">
        <v>1</v>
      </c>
      <c r="O45" s="173">
        <f t="shared" si="0"/>
        <v>0.05</v>
      </c>
      <c r="P45" s="296"/>
      <c r="Q45" s="406"/>
      <c r="R45" s="473">
        <f ca="1">メイン!K59</f>
        <v>6.2E-2</v>
      </c>
      <c r="S45" s="404" t="str">
        <f>メイン!O59</f>
        <v>換気</v>
      </c>
      <c r="T45" s="407" t="s">
        <v>52</v>
      </c>
      <c r="U45" s="486">
        <f ca="1">IFERROR(VLOOKUP(T45,エネルギーシェア!$B$4:$I$23,8,FALSE),"")</f>
        <v>6.2</v>
      </c>
      <c r="AH45" s="136"/>
      <c r="AI45" s="136"/>
      <c r="AJ45" s="136"/>
      <c r="AK45" s="136"/>
      <c r="AL45" s="136"/>
      <c r="AM45" s="136"/>
      <c r="AN45" s="136"/>
      <c r="AO45" s="136"/>
      <c r="AP45" s="136"/>
      <c r="BH45" s="136"/>
    </row>
    <row r="46" spans="2:60" ht="30" customHeight="1">
      <c r="B46" s="865"/>
      <c r="C46" s="148">
        <v>42</v>
      </c>
      <c r="D46" s="160" t="s">
        <v>18</v>
      </c>
      <c r="E46" s="497" t="s">
        <v>729</v>
      </c>
      <c r="F46" s="401" t="s">
        <v>204</v>
      </c>
      <c r="G46" s="401" t="s">
        <v>204</v>
      </c>
      <c r="H46" s="289" t="s">
        <v>220</v>
      </c>
      <c r="I46" s="500">
        <v>0.2</v>
      </c>
      <c r="J46" s="160" t="s">
        <v>502</v>
      </c>
      <c r="K46" s="407" t="s">
        <v>683</v>
      </c>
      <c r="L46" s="501" t="s">
        <v>684</v>
      </c>
      <c r="M46" s="404">
        <v>1</v>
      </c>
      <c r="N46" s="285">
        <f ca="1">$AB$21</f>
        <v>1</v>
      </c>
      <c r="O46" s="176">
        <f t="shared" ca="1" si="0"/>
        <v>0.2</v>
      </c>
      <c r="P46" s="282" t="s">
        <v>154</v>
      </c>
      <c r="Q46" s="406" t="s">
        <v>618</v>
      </c>
      <c r="R46" s="473">
        <f ca="1">メイン!K60</f>
        <v>6.2E-2</v>
      </c>
      <c r="S46" s="404" t="str">
        <f>メイン!O60</f>
        <v>換気</v>
      </c>
      <c r="T46" s="407" t="s">
        <v>52</v>
      </c>
      <c r="U46" s="486">
        <f ca="1">IFERROR(VLOOKUP(T46,エネルギーシェア!$B$4:$I$23,8,FALSE),"")</f>
        <v>6.2</v>
      </c>
    </row>
    <row r="47" spans="2:60" ht="30" customHeight="1">
      <c r="B47" s="865"/>
      <c r="C47" s="148">
        <v>43</v>
      </c>
      <c r="D47" s="160" t="s">
        <v>420</v>
      </c>
      <c r="E47" s="497" t="s">
        <v>730</v>
      </c>
      <c r="F47" s="401" t="s">
        <v>199</v>
      </c>
      <c r="G47" s="401" t="s">
        <v>199</v>
      </c>
      <c r="H47" s="289" t="s">
        <v>214</v>
      </c>
      <c r="I47" s="500">
        <v>7.5999999999999998E-2</v>
      </c>
      <c r="J47" s="160" t="s">
        <v>502</v>
      </c>
      <c r="K47" s="407" t="s">
        <v>421</v>
      </c>
      <c r="L47" s="501" t="s">
        <v>267</v>
      </c>
      <c r="M47" s="404">
        <v>1</v>
      </c>
      <c r="N47" s="283">
        <f>$X$13</f>
        <v>1</v>
      </c>
      <c r="O47" s="284">
        <f t="shared" si="0"/>
        <v>7.5999999999999998E-2</v>
      </c>
      <c r="P47" s="299" t="s">
        <v>303</v>
      </c>
      <c r="Q47" s="406"/>
      <c r="R47" s="473">
        <f ca="1">メイン!K61</f>
        <v>0.45200000000000001</v>
      </c>
      <c r="S47" s="404" t="str">
        <f>メイン!O61</f>
        <v>熱負荷</v>
      </c>
      <c r="T47" s="407" t="s">
        <v>665</v>
      </c>
      <c r="U47" s="486">
        <f ca="1">IFERROR(VLOOKUP(T47,エネルギーシェア!$B$4:$I$23,8,FALSE),"")</f>
        <v>45.2</v>
      </c>
      <c r="V47" s="136"/>
      <c r="X47" s="136"/>
      <c r="Y47" s="136"/>
      <c r="Z47" s="136"/>
      <c r="AA47" s="136"/>
      <c r="AB47" s="136"/>
      <c r="AC47" s="136"/>
      <c r="AD47" s="136"/>
      <c r="AE47" s="136"/>
      <c r="AF47" s="136"/>
      <c r="AG47" s="136"/>
    </row>
    <row r="48" spans="2:60" ht="38.25">
      <c r="B48" s="865"/>
      <c r="C48" s="148">
        <v>44</v>
      </c>
      <c r="D48" s="160" t="s">
        <v>17</v>
      </c>
      <c r="E48" s="497" t="s">
        <v>737</v>
      </c>
      <c r="F48" s="401" t="s">
        <v>204</v>
      </c>
      <c r="G48" s="401" t="s">
        <v>199</v>
      </c>
      <c r="H48" s="289" t="s">
        <v>215</v>
      </c>
      <c r="I48" s="500">
        <v>9.4500000000000001E-2</v>
      </c>
      <c r="J48" s="160" t="s">
        <v>502</v>
      </c>
      <c r="K48" s="407" t="s">
        <v>682</v>
      </c>
      <c r="L48" s="501" t="s">
        <v>685</v>
      </c>
      <c r="M48" s="404">
        <v>1</v>
      </c>
      <c r="N48" s="299">
        <v>1</v>
      </c>
      <c r="O48" s="176">
        <f t="shared" ref="O48:O49" si="2">I48*M48*N48</f>
        <v>9.4500000000000001E-2</v>
      </c>
      <c r="P48" s="299"/>
      <c r="Q48" s="406" t="s">
        <v>618</v>
      </c>
      <c r="R48" s="473">
        <f ca="1">メイン!K62</f>
        <v>0.13600000000000001</v>
      </c>
      <c r="S48" s="404" t="str">
        <f>メイン!O62</f>
        <v>外気</v>
      </c>
      <c r="T48" s="407" t="s">
        <v>664</v>
      </c>
      <c r="U48" s="486">
        <f ca="1">IFERROR(VLOOKUP(T48,エネルギーシェア!$B$4:$I$23,8,FALSE),"")</f>
        <v>13.600000000000001</v>
      </c>
      <c r="X48" s="136"/>
      <c r="Y48" s="136"/>
      <c r="Z48" s="136"/>
      <c r="AA48" s="136"/>
      <c r="AB48" s="136"/>
      <c r="AC48" s="136"/>
      <c r="AD48" s="136"/>
      <c r="AE48" s="136"/>
      <c r="AF48" s="136"/>
      <c r="AG48" s="136"/>
    </row>
    <row r="49" spans="2:33" ht="30" customHeight="1">
      <c r="B49" s="866"/>
      <c r="C49" s="148">
        <v>45</v>
      </c>
      <c r="D49" s="160" t="s">
        <v>422</v>
      </c>
      <c r="E49" s="497" t="s">
        <v>543</v>
      </c>
      <c r="F49" s="401" t="s">
        <v>204</v>
      </c>
      <c r="G49" s="401" t="s">
        <v>204</v>
      </c>
      <c r="H49" s="289" t="s">
        <v>221</v>
      </c>
      <c r="I49" s="500">
        <v>2E-3</v>
      </c>
      <c r="J49" s="160" t="s">
        <v>502</v>
      </c>
      <c r="K49" s="407" t="s">
        <v>507</v>
      </c>
      <c r="L49" s="503" t="s">
        <v>508</v>
      </c>
      <c r="M49" s="404">
        <v>1</v>
      </c>
      <c r="N49" s="322">
        <v>1</v>
      </c>
      <c r="O49" s="176">
        <f t="shared" si="2"/>
        <v>2E-3</v>
      </c>
      <c r="P49" s="299"/>
      <c r="Q49" s="406"/>
      <c r="R49" s="473">
        <f ca="1">メイン!K63</f>
        <v>0.11799999999999999</v>
      </c>
      <c r="S49" s="404" t="str">
        <f>メイン!O63</f>
        <v>空調ファン</v>
      </c>
      <c r="T49" s="407" t="s">
        <v>48</v>
      </c>
      <c r="U49" s="486">
        <f ca="1">IFERROR(VLOOKUP(T49,エネルギーシェア!$B$4:$I$23,8,FALSE),"")</f>
        <v>11.799999999999999</v>
      </c>
      <c r="X49" s="136"/>
      <c r="Y49" s="136"/>
      <c r="Z49" s="136"/>
      <c r="AA49" s="136"/>
      <c r="AB49" s="136"/>
      <c r="AC49" s="136"/>
      <c r="AD49" s="136"/>
      <c r="AE49" s="136"/>
      <c r="AF49" s="136"/>
      <c r="AG49" s="136"/>
    </row>
    <row r="50" spans="2:33" ht="49.5" customHeight="1">
      <c r="B50" s="864" t="s">
        <v>222</v>
      </c>
      <c r="C50" s="148">
        <v>46</v>
      </c>
      <c r="D50" s="160" t="s">
        <v>21</v>
      </c>
      <c r="E50" s="497" t="s">
        <v>672</v>
      </c>
      <c r="F50" s="401" t="s">
        <v>199</v>
      </c>
      <c r="G50" s="401" t="s">
        <v>199</v>
      </c>
      <c r="H50" s="289" t="s">
        <v>423</v>
      </c>
      <c r="I50" s="502">
        <v>0.1125</v>
      </c>
      <c r="J50" s="160" t="s">
        <v>502</v>
      </c>
      <c r="K50" s="147" t="s">
        <v>435</v>
      </c>
      <c r="L50" s="501" t="s">
        <v>687</v>
      </c>
      <c r="M50" s="282">
        <v>1</v>
      </c>
      <c r="N50" s="283">
        <f>$X$11</f>
        <v>1</v>
      </c>
      <c r="O50" s="286">
        <f t="shared" si="0"/>
        <v>0.1125</v>
      </c>
      <c r="P50" s="282" t="s">
        <v>294</v>
      </c>
      <c r="Q50" s="406" t="s">
        <v>618</v>
      </c>
      <c r="R50" s="473">
        <f ca="1">メイン!K64</f>
        <v>0.20200000000000004</v>
      </c>
      <c r="S50" s="404" t="str">
        <f>メイン!O64</f>
        <v>照明</v>
      </c>
      <c r="T50" s="407" t="s">
        <v>50</v>
      </c>
      <c r="U50" s="486">
        <f ca="1">IFERROR(VLOOKUP(T50,エネルギーシェア!$B$4:$I$23,8,FALSE),"")</f>
        <v>20.200000000000003</v>
      </c>
    </row>
    <row r="51" spans="2:33" ht="38.25" customHeight="1">
      <c r="B51" s="865"/>
      <c r="C51" s="148">
        <v>47</v>
      </c>
      <c r="D51" s="160" t="s">
        <v>424</v>
      </c>
      <c r="E51" s="497" t="s">
        <v>544</v>
      </c>
      <c r="F51" s="401" t="s">
        <v>199</v>
      </c>
      <c r="G51" s="401" t="s">
        <v>199</v>
      </c>
      <c r="H51" s="289" t="s">
        <v>223</v>
      </c>
      <c r="I51" s="500">
        <v>0.01</v>
      </c>
      <c r="J51" s="160" t="s">
        <v>502</v>
      </c>
      <c r="K51" s="147" t="s">
        <v>509</v>
      </c>
      <c r="L51" s="501" t="s">
        <v>655</v>
      </c>
      <c r="M51" s="282">
        <v>1</v>
      </c>
      <c r="N51" s="282">
        <v>1</v>
      </c>
      <c r="O51" s="176">
        <f t="shared" si="0"/>
        <v>0.01</v>
      </c>
      <c r="P51" s="282"/>
      <c r="Q51" s="406" t="s">
        <v>618</v>
      </c>
      <c r="R51" s="473">
        <f ca="1">メイン!K65</f>
        <v>0.20200000000000004</v>
      </c>
      <c r="S51" s="404" t="str">
        <f>メイン!O65</f>
        <v>照明</v>
      </c>
      <c r="T51" s="407" t="s">
        <v>50</v>
      </c>
      <c r="U51" s="486">
        <f ca="1">IFERROR(VLOOKUP(T51,エネルギーシェア!$B$4:$I$23,8,FALSE),"")</f>
        <v>20.200000000000003</v>
      </c>
    </row>
    <row r="52" spans="2:33" ht="30" customHeight="1">
      <c r="B52" s="865"/>
      <c r="C52" s="148">
        <v>48</v>
      </c>
      <c r="D52" s="160" t="s">
        <v>425</v>
      </c>
      <c r="E52" s="497" t="s">
        <v>426</v>
      </c>
      <c r="F52" s="401" t="s">
        <v>199</v>
      </c>
      <c r="G52" s="401" t="s">
        <v>199</v>
      </c>
      <c r="H52" s="289" t="s">
        <v>223</v>
      </c>
      <c r="I52" s="500">
        <v>0.01</v>
      </c>
      <c r="J52" s="160" t="s">
        <v>502</v>
      </c>
      <c r="K52" s="407" t="s">
        <v>509</v>
      </c>
      <c r="L52" s="501" t="s">
        <v>655</v>
      </c>
      <c r="M52" s="282">
        <v>1</v>
      </c>
      <c r="N52" s="282">
        <v>1</v>
      </c>
      <c r="O52" s="176">
        <f t="shared" si="0"/>
        <v>0.01</v>
      </c>
      <c r="P52" s="282"/>
      <c r="Q52" s="406"/>
      <c r="R52" s="473">
        <f ca="1">メイン!K66</f>
        <v>0.20200000000000004</v>
      </c>
      <c r="S52" s="404" t="str">
        <f>メイン!O66</f>
        <v>照明</v>
      </c>
      <c r="T52" s="407" t="s">
        <v>50</v>
      </c>
      <c r="U52" s="486">
        <f ca="1">IFERROR(VLOOKUP(T52,エネルギーシェア!$B$4:$I$23,8,FALSE),"")</f>
        <v>20.200000000000003</v>
      </c>
    </row>
    <row r="53" spans="2:33" ht="30" customHeight="1">
      <c r="B53" s="865"/>
      <c r="C53" s="148">
        <v>49</v>
      </c>
      <c r="D53" s="160" t="s">
        <v>22</v>
      </c>
      <c r="E53" s="497" t="s">
        <v>673</v>
      </c>
      <c r="F53" s="401" t="s">
        <v>199</v>
      </c>
      <c r="G53" s="401" t="s">
        <v>199</v>
      </c>
      <c r="H53" s="289" t="s">
        <v>427</v>
      </c>
      <c r="I53" s="500">
        <v>0.01</v>
      </c>
      <c r="J53" s="160" t="s">
        <v>502</v>
      </c>
      <c r="K53" s="407" t="s">
        <v>509</v>
      </c>
      <c r="L53" s="501" t="s">
        <v>655</v>
      </c>
      <c r="M53" s="282">
        <v>1</v>
      </c>
      <c r="N53" s="282">
        <v>1</v>
      </c>
      <c r="O53" s="176">
        <f t="shared" si="0"/>
        <v>0.01</v>
      </c>
      <c r="P53" s="282"/>
      <c r="Q53" s="406" t="s">
        <v>618</v>
      </c>
      <c r="R53" s="473">
        <f ca="1">メイン!K67</f>
        <v>0.20200000000000004</v>
      </c>
      <c r="S53" s="404" t="str">
        <f>メイン!O67</f>
        <v>照明</v>
      </c>
      <c r="T53" s="407" t="s">
        <v>50</v>
      </c>
      <c r="U53" s="486">
        <f ca="1">IFERROR(VLOOKUP(T53,エネルギーシェア!$B$4:$I$23,8,FALSE),"")</f>
        <v>20.200000000000003</v>
      </c>
    </row>
    <row r="54" spans="2:33" ht="30" customHeight="1">
      <c r="B54" s="865"/>
      <c r="C54" s="148">
        <v>50</v>
      </c>
      <c r="D54" s="160" t="s">
        <v>654</v>
      </c>
      <c r="E54" s="497" t="s">
        <v>545</v>
      </c>
      <c r="F54" s="401" t="s">
        <v>199</v>
      </c>
      <c r="G54" s="401" t="s">
        <v>199</v>
      </c>
      <c r="H54" s="289" t="s">
        <v>224</v>
      </c>
      <c r="I54" s="500">
        <v>0.01</v>
      </c>
      <c r="J54" s="160" t="s">
        <v>502</v>
      </c>
      <c r="K54" s="147" t="s">
        <v>431</v>
      </c>
      <c r="L54" s="501" t="s">
        <v>656</v>
      </c>
      <c r="M54" s="282">
        <v>1</v>
      </c>
      <c r="N54" s="282">
        <v>1</v>
      </c>
      <c r="O54" s="176">
        <f t="shared" si="0"/>
        <v>0.01</v>
      </c>
      <c r="P54" s="282"/>
      <c r="Q54" s="406"/>
      <c r="R54" s="473">
        <f ca="1">メイン!K68</f>
        <v>0.20200000000000004</v>
      </c>
      <c r="S54" s="404" t="str">
        <f>メイン!O68</f>
        <v>照明</v>
      </c>
      <c r="T54" s="407" t="s">
        <v>50</v>
      </c>
      <c r="U54" s="486">
        <f ca="1">IFERROR(VLOOKUP(T54,エネルギーシェア!$B$4:$I$23,8,FALSE),"")</f>
        <v>20.200000000000003</v>
      </c>
    </row>
    <row r="55" spans="2:33" ht="30" customHeight="1">
      <c r="B55" s="865"/>
      <c r="C55" s="148">
        <v>51</v>
      </c>
      <c r="D55" s="160" t="s">
        <v>428</v>
      </c>
      <c r="E55" s="497" t="s">
        <v>546</v>
      </c>
      <c r="F55" s="401" t="s">
        <v>204</v>
      </c>
      <c r="G55" s="401" t="s">
        <v>199</v>
      </c>
      <c r="H55" s="289" t="s">
        <v>429</v>
      </c>
      <c r="I55" s="500">
        <v>0.01</v>
      </c>
      <c r="J55" s="160" t="s">
        <v>502</v>
      </c>
      <c r="K55" s="147" t="s">
        <v>509</v>
      </c>
      <c r="L55" s="501" t="s">
        <v>655</v>
      </c>
      <c r="M55" s="282">
        <v>1</v>
      </c>
      <c r="N55" s="282">
        <v>1</v>
      </c>
      <c r="O55" s="176">
        <f t="shared" si="0"/>
        <v>0.01</v>
      </c>
      <c r="P55" s="282"/>
      <c r="Q55" s="406"/>
      <c r="R55" s="473">
        <f ca="1">メイン!K69</f>
        <v>0.20200000000000004</v>
      </c>
      <c r="S55" s="404" t="str">
        <f>メイン!O69</f>
        <v>照明</v>
      </c>
      <c r="T55" s="407" t="s">
        <v>50</v>
      </c>
      <c r="U55" s="486">
        <f ca="1">IFERROR(VLOOKUP(T55,エネルギーシェア!$B$4:$I$23,8,FALSE),"")</f>
        <v>20.200000000000003</v>
      </c>
    </row>
    <row r="56" spans="2:33" ht="30" customHeight="1">
      <c r="B56" s="865"/>
      <c r="C56" s="148">
        <v>52</v>
      </c>
      <c r="D56" s="160" t="s">
        <v>653</v>
      </c>
      <c r="E56" s="497" t="s">
        <v>546</v>
      </c>
      <c r="F56" s="401" t="s">
        <v>204</v>
      </c>
      <c r="G56" s="401" t="s">
        <v>199</v>
      </c>
      <c r="H56" s="289" t="s">
        <v>430</v>
      </c>
      <c r="I56" s="500">
        <v>0.01</v>
      </c>
      <c r="J56" s="160" t="s">
        <v>502</v>
      </c>
      <c r="K56" s="407" t="s">
        <v>431</v>
      </c>
      <c r="L56" s="501" t="s">
        <v>656</v>
      </c>
      <c r="M56" s="282">
        <v>1</v>
      </c>
      <c r="N56" s="282">
        <v>1</v>
      </c>
      <c r="O56" s="176">
        <f t="shared" si="0"/>
        <v>0.01</v>
      </c>
      <c r="P56" s="282"/>
      <c r="Q56" s="406"/>
      <c r="R56" s="473">
        <f ca="1">メイン!K70</f>
        <v>0.20200000000000004</v>
      </c>
      <c r="S56" s="404" t="str">
        <f>メイン!O70</f>
        <v>照明</v>
      </c>
      <c r="T56" s="407" t="s">
        <v>50</v>
      </c>
      <c r="U56" s="486">
        <f ca="1">IFERROR(VLOOKUP(T56,エネルギーシェア!$B$4:$I$23,8,FALSE),"")</f>
        <v>20.200000000000003</v>
      </c>
    </row>
    <row r="57" spans="2:33" ht="30" customHeight="1">
      <c r="B57" s="865"/>
      <c r="C57" s="148">
        <v>53</v>
      </c>
      <c r="D57" s="160" t="s">
        <v>432</v>
      </c>
      <c r="E57" s="497" t="s">
        <v>23</v>
      </c>
      <c r="F57" s="401" t="s">
        <v>204</v>
      </c>
      <c r="G57" s="401" t="s">
        <v>204</v>
      </c>
      <c r="H57" s="289" t="s">
        <v>225</v>
      </c>
      <c r="I57" s="500">
        <v>4.0000000000000001E-3</v>
      </c>
      <c r="J57" s="160" t="s">
        <v>502</v>
      </c>
      <c r="K57" s="407" t="s">
        <v>433</v>
      </c>
      <c r="L57" s="501" t="s">
        <v>657</v>
      </c>
      <c r="M57" s="142">
        <v>1</v>
      </c>
      <c r="N57" s="142">
        <v>1</v>
      </c>
      <c r="O57" s="173">
        <f t="shared" si="0"/>
        <v>4.0000000000000001E-3</v>
      </c>
      <c r="P57" s="142"/>
      <c r="Q57" s="406"/>
      <c r="R57" s="473">
        <f ca="1">メイン!K71</f>
        <v>0.20200000000000004</v>
      </c>
      <c r="S57" s="404" t="str">
        <f>メイン!O71</f>
        <v>照明</v>
      </c>
      <c r="T57" s="407" t="s">
        <v>50</v>
      </c>
      <c r="U57" s="486">
        <f ca="1">IFERROR(VLOOKUP(T57,エネルギーシェア!$B$4:$I$23,8,FALSE),"")</f>
        <v>20.200000000000003</v>
      </c>
    </row>
    <row r="58" spans="2:33" ht="30" customHeight="1">
      <c r="B58" s="865"/>
      <c r="C58" s="148">
        <v>54</v>
      </c>
      <c r="D58" s="160" t="s">
        <v>731</v>
      </c>
      <c r="E58" s="497" t="s">
        <v>434</v>
      </c>
      <c r="F58" s="401" t="s">
        <v>204</v>
      </c>
      <c r="G58" s="401" t="s">
        <v>204</v>
      </c>
      <c r="H58" s="289" t="s">
        <v>225</v>
      </c>
      <c r="I58" s="500">
        <v>4.0000000000000001E-3</v>
      </c>
      <c r="J58" s="160" t="s">
        <v>502</v>
      </c>
      <c r="K58" s="407" t="s">
        <v>433</v>
      </c>
      <c r="L58" s="501" t="s">
        <v>657</v>
      </c>
      <c r="M58" s="142">
        <v>1</v>
      </c>
      <c r="N58" s="142">
        <v>1</v>
      </c>
      <c r="O58" s="173">
        <f t="shared" si="0"/>
        <v>4.0000000000000001E-3</v>
      </c>
      <c r="P58" s="142"/>
      <c r="Q58" s="406"/>
      <c r="R58" s="473">
        <f ca="1">メイン!K72</f>
        <v>0.20200000000000004</v>
      </c>
      <c r="S58" s="404" t="str">
        <f>メイン!O72</f>
        <v>照明</v>
      </c>
      <c r="T58" s="407" t="s">
        <v>50</v>
      </c>
      <c r="U58" s="486">
        <f ca="1">IFERROR(VLOOKUP(T58,エネルギーシェア!$B$4:$I$23,8,FALSE),"")</f>
        <v>20.200000000000003</v>
      </c>
    </row>
    <row r="59" spans="2:33" ht="51">
      <c r="B59" s="866"/>
      <c r="C59" s="148">
        <v>55</v>
      </c>
      <c r="D59" s="160" t="s">
        <v>615</v>
      </c>
      <c r="E59" s="497" t="s">
        <v>616</v>
      </c>
      <c r="F59" s="401" t="s">
        <v>199</v>
      </c>
      <c r="G59" s="401" t="s">
        <v>199</v>
      </c>
      <c r="H59" s="289" t="s">
        <v>226</v>
      </c>
      <c r="I59" s="500">
        <v>0.125</v>
      </c>
      <c r="J59" s="160" t="s">
        <v>502</v>
      </c>
      <c r="K59" s="407" t="s">
        <v>435</v>
      </c>
      <c r="L59" s="501" t="s">
        <v>687</v>
      </c>
      <c r="M59" s="142">
        <v>1</v>
      </c>
      <c r="N59" s="195">
        <f>$X$11</f>
        <v>1</v>
      </c>
      <c r="O59" s="202">
        <f t="shared" si="0"/>
        <v>0.125</v>
      </c>
      <c r="P59" s="142" t="s">
        <v>294</v>
      </c>
      <c r="Q59" s="406"/>
      <c r="R59" s="473">
        <f ca="1">メイン!K73</f>
        <v>0.20200000000000004</v>
      </c>
      <c r="S59" s="404" t="str">
        <f>メイン!O73</f>
        <v>照明</v>
      </c>
      <c r="T59" s="407" t="s">
        <v>50</v>
      </c>
      <c r="U59" s="486">
        <f ca="1">IFERROR(VLOOKUP(T59,エネルギーシェア!$B$4:$I$23,8,FALSE),"")</f>
        <v>20.200000000000003</v>
      </c>
    </row>
    <row r="60" spans="2:33" ht="30" customHeight="1">
      <c r="B60" s="867" t="s">
        <v>227</v>
      </c>
      <c r="C60" s="148">
        <v>56</v>
      </c>
      <c r="D60" s="160" t="s">
        <v>732</v>
      </c>
      <c r="E60" s="497" t="s">
        <v>674</v>
      </c>
      <c r="F60" s="401" t="s">
        <v>204</v>
      </c>
      <c r="G60" s="401" t="s">
        <v>204</v>
      </c>
      <c r="H60" s="289" t="s">
        <v>228</v>
      </c>
      <c r="I60" s="500">
        <v>0.05</v>
      </c>
      <c r="J60" s="160" t="s">
        <v>502</v>
      </c>
      <c r="K60" s="407" t="s">
        <v>436</v>
      </c>
      <c r="L60" s="501" t="s">
        <v>178</v>
      </c>
      <c r="M60" s="142">
        <v>1</v>
      </c>
      <c r="N60" s="142">
        <v>1</v>
      </c>
      <c r="O60" s="173">
        <f t="shared" si="0"/>
        <v>0.05</v>
      </c>
      <c r="P60" s="142"/>
      <c r="Q60" s="406" t="s">
        <v>618</v>
      </c>
      <c r="R60" s="473">
        <f ca="1">メイン!K74</f>
        <v>1.3999999999999999E-2</v>
      </c>
      <c r="S60" s="404" t="str">
        <f>メイン!O74</f>
        <v>給湯</v>
      </c>
      <c r="T60" s="407" t="s">
        <v>49</v>
      </c>
      <c r="U60" s="486">
        <f ca="1">IFERROR(VLOOKUP(T60,エネルギーシェア!$B$4:$I$23,8,FALSE),"")</f>
        <v>1.4</v>
      </c>
    </row>
    <row r="61" spans="2:33" ht="30" customHeight="1">
      <c r="B61" s="868"/>
      <c r="C61" s="148">
        <v>57</v>
      </c>
      <c r="D61" s="160" t="s">
        <v>437</v>
      </c>
      <c r="E61" s="497" t="s">
        <v>499</v>
      </c>
      <c r="F61" s="401" t="s">
        <v>204</v>
      </c>
      <c r="G61" s="401" t="s">
        <v>204</v>
      </c>
      <c r="H61" s="289" t="s">
        <v>228</v>
      </c>
      <c r="I61" s="500">
        <v>0.1</v>
      </c>
      <c r="J61" s="160" t="s">
        <v>502</v>
      </c>
      <c r="K61" s="407" t="s">
        <v>438</v>
      </c>
      <c r="L61" s="501" t="s">
        <v>179</v>
      </c>
      <c r="M61" s="282">
        <v>1</v>
      </c>
      <c r="N61" s="282">
        <v>1</v>
      </c>
      <c r="O61" s="176">
        <f t="shared" si="0"/>
        <v>0.1</v>
      </c>
      <c r="P61" s="282"/>
      <c r="Q61" s="406"/>
      <c r="R61" s="473">
        <f ca="1">メイン!K75</f>
        <v>1.3999999999999999E-2</v>
      </c>
      <c r="S61" s="404" t="str">
        <f>メイン!O75</f>
        <v>給湯</v>
      </c>
      <c r="T61" s="407" t="s">
        <v>49</v>
      </c>
      <c r="U61" s="486">
        <f ca="1">IFERROR(VLOOKUP(T61,エネルギーシェア!$B$4:$I$23,8,FALSE),"")</f>
        <v>1.4</v>
      </c>
    </row>
    <row r="62" spans="2:33" ht="30" customHeight="1">
      <c r="B62" s="868"/>
      <c r="C62" s="148">
        <v>58</v>
      </c>
      <c r="D62" s="160" t="s">
        <v>439</v>
      </c>
      <c r="E62" s="497" t="s">
        <v>440</v>
      </c>
      <c r="F62" s="401" t="s">
        <v>204</v>
      </c>
      <c r="G62" s="401" t="s">
        <v>204</v>
      </c>
      <c r="H62" s="289" t="s">
        <v>228</v>
      </c>
      <c r="I62" s="500">
        <v>0.05</v>
      </c>
      <c r="J62" s="160" t="s">
        <v>502</v>
      </c>
      <c r="K62" s="407" t="s">
        <v>441</v>
      </c>
      <c r="L62" s="501" t="s">
        <v>180</v>
      </c>
      <c r="M62" s="296">
        <v>1</v>
      </c>
      <c r="N62" s="296">
        <v>1</v>
      </c>
      <c r="O62" s="173">
        <f t="shared" si="0"/>
        <v>0.05</v>
      </c>
      <c r="P62" s="296"/>
      <c r="Q62" s="406"/>
      <c r="R62" s="473">
        <f ca="1">メイン!K76</f>
        <v>1.3999999999999999E-2</v>
      </c>
      <c r="S62" s="404" t="str">
        <f>メイン!O76</f>
        <v>給湯</v>
      </c>
      <c r="T62" s="407" t="s">
        <v>49</v>
      </c>
      <c r="U62" s="486">
        <f ca="1">IFERROR(VLOOKUP(T62,エネルギーシェア!$B$4:$I$23,8,FALSE),"")</f>
        <v>1.4</v>
      </c>
    </row>
    <row r="63" spans="2:33" ht="38.25">
      <c r="B63" s="868"/>
      <c r="C63" s="148">
        <v>59</v>
      </c>
      <c r="D63" s="160" t="s">
        <v>442</v>
      </c>
      <c r="E63" s="497" t="s">
        <v>24</v>
      </c>
      <c r="F63" s="401" t="s">
        <v>204</v>
      </c>
      <c r="G63" s="401" t="s">
        <v>204</v>
      </c>
      <c r="H63" s="289" t="s">
        <v>229</v>
      </c>
      <c r="I63" s="500">
        <v>1.4999999999999999E-2</v>
      </c>
      <c r="J63" s="160" t="s">
        <v>502</v>
      </c>
      <c r="K63" s="407" t="s">
        <v>688</v>
      </c>
      <c r="L63" s="501" t="s">
        <v>689</v>
      </c>
      <c r="M63" s="296">
        <v>1</v>
      </c>
      <c r="N63" s="296">
        <v>1</v>
      </c>
      <c r="O63" s="173">
        <f t="shared" si="0"/>
        <v>1.4999999999999999E-2</v>
      </c>
      <c r="P63" s="296"/>
      <c r="Q63" s="406"/>
      <c r="R63" s="473">
        <f ca="1">メイン!K77</f>
        <v>8.0000000000000002E-3</v>
      </c>
      <c r="S63" s="404" t="str">
        <f>メイン!O77</f>
        <v>給排水</v>
      </c>
      <c r="T63" s="407" t="s">
        <v>54</v>
      </c>
      <c r="U63" s="486">
        <f ca="1">IFERROR(VLOOKUP(T63,エネルギーシェア!$B$4:$I$23,8,FALSE),"")</f>
        <v>0.8</v>
      </c>
    </row>
    <row r="64" spans="2:33" ht="38.25">
      <c r="B64" s="869"/>
      <c r="C64" s="148">
        <v>60</v>
      </c>
      <c r="D64" s="160" t="s">
        <v>230</v>
      </c>
      <c r="E64" s="497" t="s">
        <v>734</v>
      </c>
      <c r="F64" s="401" t="s">
        <v>204</v>
      </c>
      <c r="G64" s="401" t="s">
        <v>204</v>
      </c>
      <c r="H64" s="290" t="s">
        <v>231</v>
      </c>
      <c r="I64" s="500">
        <v>1.4999999999999999E-2</v>
      </c>
      <c r="J64" s="160" t="s">
        <v>502</v>
      </c>
      <c r="K64" s="407" t="s">
        <v>688</v>
      </c>
      <c r="L64" s="501" t="s">
        <v>690</v>
      </c>
      <c r="M64" s="282">
        <v>1</v>
      </c>
      <c r="N64" s="282">
        <v>1</v>
      </c>
      <c r="O64" s="176">
        <f t="shared" si="0"/>
        <v>1.4999999999999999E-2</v>
      </c>
      <c r="P64" s="282"/>
      <c r="Q64" s="406"/>
      <c r="R64" s="473">
        <f ca="1">メイン!K78</f>
        <v>8.0000000000000002E-3</v>
      </c>
      <c r="S64" s="404" t="str">
        <f>メイン!O78</f>
        <v>給排水</v>
      </c>
      <c r="T64" s="407" t="s">
        <v>54</v>
      </c>
      <c r="U64" s="486">
        <f ca="1">IFERROR(VLOOKUP(T64,エネルギーシェア!$B$4:$I$23,8,FALSE),"")</f>
        <v>0.8</v>
      </c>
    </row>
    <row r="65" spans="2:60" ht="30" customHeight="1">
      <c r="B65" s="864" t="s">
        <v>443</v>
      </c>
      <c r="C65" s="148">
        <v>61</v>
      </c>
      <c r="D65" s="160" t="s">
        <v>444</v>
      </c>
      <c r="E65" s="497" t="s">
        <v>547</v>
      </c>
      <c r="F65" s="401" t="s">
        <v>199</v>
      </c>
      <c r="G65" s="401" t="s">
        <v>199</v>
      </c>
      <c r="H65" s="289" t="s">
        <v>234</v>
      </c>
      <c r="I65" s="500">
        <v>0.01</v>
      </c>
      <c r="J65" s="160" t="s">
        <v>502</v>
      </c>
      <c r="K65" s="407" t="s">
        <v>445</v>
      </c>
      <c r="L65" s="501" t="s">
        <v>446</v>
      </c>
      <c r="M65" s="299">
        <v>1</v>
      </c>
      <c r="N65" s="299">
        <v>1</v>
      </c>
      <c r="O65" s="176">
        <f t="shared" si="0"/>
        <v>0.01</v>
      </c>
      <c r="P65" s="299"/>
      <c r="Q65" s="406" t="s">
        <v>618</v>
      </c>
      <c r="R65" s="473">
        <f ca="1">メイン!K79</f>
        <v>0.184</v>
      </c>
      <c r="S65" s="404" t="str">
        <f>メイン!O79</f>
        <v>コンセント</v>
      </c>
      <c r="T65" s="407" t="s">
        <v>69</v>
      </c>
      <c r="U65" s="486">
        <f ca="1">IFERROR(VLOOKUP(T65,エネルギーシェア!$B$4:$I$23,8,FALSE),"")</f>
        <v>18.399999999999999</v>
      </c>
    </row>
    <row r="66" spans="2:60" ht="30" customHeight="1">
      <c r="B66" s="865"/>
      <c r="C66" s="148">
        <v>62</v>
      </c>
      <c r="D66" s="160" t="s">
        <v>447</v>
      </c>
      <c r="E66" s="497" t="s">
        <v>547</v>
      </c>
      <c r="F66" s="401" t="s">
        <v>199</v>
      </c>
      <c r="G66" s="401" t="s">
        <v>199</v>
      </c>
      <c r="H66" s="289" t="s">
        <v>448</v>
      </c>
      <c r="I66" s="500">
        <v>0.01</v>
      </c>
      <c r="J66" s="160" t="s">
        <v>502</v>
      </c>
      <c r="K66" s="407" t="s">
        <v>452</v>
      </c>
      <c r="L66" s="501" t="s">
        <v>453</v>
      </c>
      <c r="M66" s="299">
        <v>1</v>
      </c>
      <c r="N66" s="299">
        <v>1</v>
      </c>
      <c r="O66" s="176">
        <f t="shared" si="0"/>
        <v>0.01</v>
      </c>
      <c r="P66" s="299"/>
      <c r="Q66" s="406"/>
      <c r="R66" s="473">
        <f ca="1">メイン!K80</f>
        <v>0.184</v>
      </c>
      <c r="S66" s="404" t="str">
        <f>メイン!O80</f>
        <v>コンセント</v>
      </c>
      <c r="T66" s="147" t="s">
        <v>69</v>
      </c>
      <c r="U66" s="486">
        <f ca="1">IFERROR(VLOOKUP(T66,エネルギーシェア!$B$4:$I$23,8,FALSE),"")</f>
        <v>18.399999999999999</v>
      </c>
    </row>
    <row r="67" spans="2:60" ht="30" customHeight="1">
      <c r="B67" s="865"/>
      <c r="C67" s="148">
        <v>63</v>
      </c>
      <c r="D67" s="160" t="s">
        <v>449</v>
      </c>
      <c r="E67" s="497" t="s">
        <v>547</v>
      </c>
      <c r="F67" s="401" t="s">
        <v>199</v>
      </c>
      <c r="G67" s="401" t="s">
        <v>199</v>
      </c>
      <c r="H67" s="289" t="s">
        <v>450</v>
      </c>
      <c r="I67" s="500">
        <v>0.01</v>
      </c>
      <c r="J67" s="160" t="s">
        <v>502</v>
      </c>
      <c r="K67" s="407" t="s">
        <v>452</v>
      </c>
      <c r="L67" s="501" t="s">
        <v>453</v>
      </c>
      <c r="M67" s="299">
        <v>1</v>
      </c>
      <c r="N67" s="299">
        <v>1</v>
      </c>
      <c r="O67" s="176">
        <f t="shared" si="0"/>
        <v>0.01</v>
      </c>
      <c r="P67" s="299"/>
      <c r="Q67" s="406"/>
      <c r="R67" s="473">
        <f ca="1">メイン!K81</f>
        <v>0.184</v>
      </c>
      <c r="S67" s="404" t="str">
        <f>メイン!O81</f>
        <v>コンセント</v>
      </c>
      <c r="T67" s="407" t="s">
        <v>69</v>
      </c>
      <c r="U67" s="486">
        <f ca="1">IFERROR(VLOOKUP(T67,エネルギーシェア!$B$4:$I$23,8,FALSE),"")</f>
        <v>18.399999999999999</v>
      </c>
      <c r="BH67" s="152"/>
    </row>
    <row r="68" spans="2:60" ht="30" customHeight="1">
      <c r="B68" s="865"/>
      <c r="C68" s="148">
        <v>64</v>
      </c>
      <c r="D68" s="160" t="s">
        <v>28</v>
      </c>
      <c r="E68" s="497" t="s">
        <v>548</v>
      </c>
      <c r="F68" s="401" t="s">
        <v>199</v>
      </c>
      <c r="G68" s="401" t="s">
        <v>199</v>
      </c>
      <c r="H68" s="289" t="s">
        <v>451</v>
      </c>
      <c r="I68" s="500">
        <v>0.01</v>
      </c>
      <c r="J68" s="160" t="s">
        <v>502</v>
      </c>
      <c r="K68" s="407" t="s">
        <v>452</v>
      </c>
      <c r="L68" s="501" t="s">
        <v>453</v>
      </c>
      <c r="M68" s="299">
        <v>1</v>
      </c>
      <c r="N68" s="299">
        <v>1</v>
      </c>
      <c r="O68" s="176">
        <f t="shared" si="0"/>
        <v>0.01</v>
      </c>
      <c r="P68" s="299"/>
      <c r="Q68" s="406"/>
      <c r="R68" s="473">
        <f ca="1">メイン!K82</f>
        <v>0.184</v>
      </c>
      <c r="S68" s="404" t="str">
        <f>メイン!O82</f>
        <v>コンセント</v>
      </c>
      <c r="T68" s="407" t="s">
        <v>69</v>
      </c>
      <c r="U68" s="486">
        <f ca="1">IFERROR(VLOOKUP(T68,エネルギーシェア!$B$4:$I$23,8,FALSE),"")</f>
        <v>18.399999999999999</v>
      </c>
    </row>
    <row r="69" spans="2:60" ht="30" customHeight="1">
      <c r="B69" s="865"/>
      <c r="C69" s="148">
        <v>65</v>
      </c>
      <c r="D69" s="160" t="s">
        <v>236</v>
      </c>
      <c r="E69" s="497" t="s">
        <v>547</v>
      </c>
      <c r="F69" s="401" t="s">
        <v>199</v>
      </c>
      <c r="G69" s="401" t="s">
        <v>199</v>
      </c>
      <c r="H69" s="289" t="s">
        <v>454</v>
      </c>
      <c r="I69" s="500">
        <v>0.01</v>
      </c>
      <c r="J69" s="160" t="s">
        <v>502</v>
      </c>
      <c r="K69" s="407" t="s">
        <v>452</v>
      </c>
      <c r="L69" s="501" t="s">
        <v>453</v>
      </c>
      <c r="M69" s="299">
        <v>1</v>
      </c>
      <c r="N69" s="299">
        <v>1</v>
      </c>
      <c r="O69" s="176">
        <f t="shared" si="0"/>
        <v>0.01</v>
      </c>
      <c r="P69" s="299"/>
      <c r="Q69" s="406"/>
      <c r="R69" s="473">
        <f ca="1">メイン!K83</f>
        <v>0.184</v>
      </c>
      <c r="S69" s="404" t="str">
        <f>メイン!O83</f>
        <v>コンセント</v>
      </c>
      <c r="T69" s="407" t="s">
        <v>69</v>
      </c>
      <c r="U69" s="486">
        <f ca="1">IFERROR(VLOOKUP(T69,エネルギーシェア!$B$4:$I$23,8,FALSE),"")</f>
        <v>18.399999999999999</v>
      </c>
    </row>
    <row r="70" spans="2:60" ht="50.25" customHeight="1">
      <c r="B70" s="865"/>
      <c r="C70" s="148">
        <v>66</v>
      </c>
      <c r="D70" s="160" t="s">
        <v>27</v>
      </c>
      <c r="E70" s="497" t="s">
        <v>675</v>
      </c>
      <c r="F70" s="401" t="s">
        <v>199</v>
      </c>
      <c r="G70" s="401" t="s">
        <v>199</v>
      </c>
      <c r="H70" s="289" t="s">
        <v>237</v>
      </c>
      <c r="I70" s="500">
        <v>0.03</v>
      </c>
      <c r="J70" s="160" t="s">
        <v>502</v>
      </c>
      <c r="K70" s="407" t="s">
        <v>455</v>
      </c>
      <c r="L70" s="501" t="s">
        <v>268</v>
      </c>
      <c r="M70" s="147">
        <v>1</v>
      </c>
      <c r="N70" s="283">
        <f>$X$12</f>
        <v>1</v>
      </c>
      <c r="O70" s="284">
        <f t="shared" ref="O70" si="3">I70*M70*N70</f>
        <v>0.03</v>
      </c>
      <c r="P70" s="299" t="s">
        <v>148</v>
      </c>
      <c r="Q70" s="406"/>
      <c r="R70" s="473">
        <f ca="1">メイン!K84</f>
        <v>0.45200000000000001</v>
      </c>
      <c r="S70" s="404" t="str">
        <f>メイン!O84</f>
        <v>熱負荷</v>
      </c>
      <c r="T70" s="407" t="s">
        <v>665</v>
      </c>
      <c r="U70" s="486">
        <f ca="1">IFERROR(VLOOKUP(T70,エネルギーシェア!$B$4:$I$23,8,FALSE),"")</f>
        <v>45.2</v>
      </c>
    </row>
    <row r="71" spans="2:60" ht="39.75" customHeight="1">
      <c r="B71" s="865"/>
      <c r="C71" s="148">
        <v>67</v>
      </c>
      <c r="D71" s="160" t="s">
        <v>456</v>
      </c>
      <c r="E71" s="497" t="s">
        <v>549</v>
      </c>
      <c r="F71" s="401" t="s">
        <v>199</v>
      </c>
      <c r="G71" s="401" t="s">
        <v>199</v>
      </c>
      <c r="H71" s="289" t="s">
        <v>232</v>
      </c>
      <c r="I71" s="500">
        <v>8.0000000000000002E-3</v>
      </c>
      <c r="J71" s="160" t="s">
        <v>502</v>
      </c>
      <c r="K71" s="407">
        <v>2.4</v>
      </c>
      <c r="L71" s="501" t="s">
        <v>181</v>
      </c>
      <c r="M71" s="299">
        <v>1</v>
      </c>
      <c r="N71" s="299">
        <v>1</v>
      </c>
      <c r="O71" s="176">
        <f t="shared" ref="O71:O74" si="4">I71*M71*N71</f>
        <v>8.0000000000000002E-3</v>
      </c>
      <c r="P71" s="299"/>
      <c r="Q71" s="406"/>
      <c r="R71" s="473">
        <f ca="1">メイン!K85</f>
        <v>0.05</v>
      </c>
      <c r="S71" s="404" t="str">
        <f>メイン!O85</f>
        <v>外皮</v>
      </c>
      <c r="T71" s="147" t="s">
        <v>663</v>
      </c>
      <c r="U71" s="488">
        <f ca="1">IFERROR(VLOOKUP(T71,エネルギーシェア!$B$4:$I$23,8,FALSE),"")</f>
        <v>5</v>
      </c>
    </row>
    <row r="72" spans="2:60" ht="51">
      <c r="B72" s="865"/>
      <c r="C72" s="148">
        <v>68</v>
      </c>
      <c r="D72" s="160" t="s">
        <v>291</v>
      </c>
      <c r="E72" s="497" t="s">
        <v>550</v>
      </c>
      <c r="F72" s="401" t="s">
        <v>204</v>
      </c>
      <c r="G72" s="401" t="s">
        <v>204</v>
      </c>
      <c r="H72" s="289" t="s">
        <v>238</v>
      </c>
      <c r="I72" s="500">
        <v>1.2500000000000001E-2</v>
      </c>
      <c r="J72" s="160" t="s">
        <v>502</v>
      </c>
      <c r="K72" s="147" t="s">
        <v>435</v>
      </c>
      <c r="L72" s="501" t="s">
        <v>687</v>
      </c>
      <c r="M72" s="299">
        <v>1</v>
      </c>
      <c r="N72" s="299">
        <v>1</v>
      </c>
      <c r="O72" s="176">
        <f t="shared" si="4"/>
        <v>1.2500000000000001E-2</v>
      </c>
      <c r="P72" s="299"/>
      <c r="Q72" s="406"/>
      <c r="R72" s="473">
        <f ca="1">メイン!K86</f>
        <v>0.20200000000000004</v>
      </c>
      <c r="S72" s="404" t="str">
        <f>メイン!O86</f>
        <v>照明</v>
      </c>
      <c r="T72" s="407" t="s">
        <v>50</v>
      </c>
      <c r="U72" s="486">
        <f ca="1">IFERROR(VLOOKUP(T72,エネルギーシェア!$B$4:$I$23,8,FALSE),"")</f>
        <v>20.200000000000003</v>
      </c>
    </row>
    <row r="73" spans="2:60" ht="30" customHeight="1">
      <c r="B73" s="865"/>
      <c r="C73" s="148">
        <v>69</v>
      </c>
      <c r="D73" s="160" t="s">
        <v>26</v>
      </c>
      <c r="E73" s="497" t="s">
        <v>551</v>
      </c>
      <c r="F73" s="401" t="s">
        <v>199</v>
      </c>
      <c r="G73" s="401" t="s">
        <v>199</v>
      </c>
      <c r="H73" s="289" t="s">
        <v>233</v>
      </c>
      <c r="I73" s="500">
        <v>2E-3</v>
      </c>
      <c r="J73" s="160" t="s">
        <v>502</v>
      </c>
      <c r="K73" s="407" t="s">
        <v>457</v>
      </c>
      <c r="L73" s="501" t="s">
        <v>182</v>
      </c>
      <c r="M73" s="296">
        <v>1</v>
      </c>
      <c r="N73" s="296">
        <v>1</v>
      </c>
      <c r="O73" s="173">
        <f t="shared" si="4"/>
        <v>2E-3</v>
      </c>
      <c r="P73" s="296"/>
      <c r="Q73" s="406"/>
      <c r="R73" s="473">
        <f>メイン!K87</f>
        <v>1</v>
      </c>
      <c r="S73" s="404" t="str">
        <f>メイン!O87</f>
        <v>合計</v>
      </c>
      <c r="T73" s="407" t="s">
        <v>56</v>
      </c>
      <c r="U73" s="486">
        <f>IFERROR(VLOOKUP(T73,エネルギーシェア!$B$4:$I$23,8,FALSE),"")</f>
        <v>100</v>
      </c>
    </row>
    <row r="74" spans="2:60" ht="30" customHeight="1">
      <c r="B74" s="866"/>
      <c r="C74" s="148">
        <v>70</v>
      </c>
      <c r="D74" s="160" t="s">
        <v>458</v>
      </c>
      <c r="E74" s="497" t="s">
        <v>552</v>
      </c>
      <c r="F74" s="401" t="s">
        <v>204</v>
      </c>
      <c r="G74" s="401" t="s">
        <v>204</v>
      </c>
      <c r="H74" s="289" t="s">
        <v>235</v>
      </c>
      <c r="I74" s="500">
        <v>0.2</v>
      </c>
      <c r="J74" s="160" t="s">
        <v>502</v>
      </c>
      <c r="K74" s="407" t="s">
        <v>459</v>
      </c>
      <c r="L74" s="501" t="s">
        <v>183</v>
      </c>
      <c r="M74" s="296">
        <v>1</v>
      </c>
      <c r="N74" s="296">
        <v>1</v>
      </c>
      <c r="O74" s="173">
        <f t="shared" si="4"/>
        <v>0.2</v>
      </c>
      <c r="P74" s="296"/>
      <c r="Q74" s="406" t="s">
        <v>618</v>
      </c>
      <c r="R74" s="473">
        <f ca="1">メイン!K88</f>
        <v>8.0000000000000002E-3</v>
      </c>
      <c r="S74" s="404" t="str">
        <f>メイン!O88</f>
        <v>給排水</v>
      </c>
      <c r="T74" s="407" t="s">
        <v>54</v>
      </c>
      <c r="U74" s="486">
        <f ca="1">IFERROR(VLOOKUP(T74,エネルギーシェア!$B$4:$I$23,8,FALSE),"")</f>
        <v>0.8</v>
      </c>
    </row>
    <row r="75" spans="2:60" ht="30" hidden="1" customHeight="1">
      <c r="B75" s="854" t="s">
        <v>239</v>
      </c>
      <c r="C75" s="144">
        <v>71</v>
      </c>
      <c r="D75" s="298"/>
      <c r="E75" s="295"/>
      <c r="F75" s="296"/>
      <c r="G75" s="296"/>
      <c r="H75" s="294"/>
      <c r="I75" s="174"/>
      <c r="J75" s="300"/>
      <c r="K75" s="147"/>
      <c r="L75" s="300"/>
      <c r="M75" s="157"/>
      <c r="N75" s="157"/>
      <c r="O75" s="176"/>
      <c r="P75" s="157"/>
      <c r="Q75" s="448"/>
      <c r="R75" s="410" t="s">
        <v>270</v>
      </c>
      <c r="S75" s="409" t="s">
        <v>269</v>
      </c>
      <c r="T75" s="411" t="s">
        <v>271</v>
      </c>
      <c r="U75" s="143"/>
    </row>
    <row r="76" spans="2:60" ht="30" hidden="1" customHeight="1">
      <c r="B76" s="854"/>
      <c r="C76" s="144">
        <v>72</v>
      </c>
      <c r="D76" s="154" t="s">
        <v>240</v>
      </c>
      <c r="E76" s="146"/>
      <c r="F76" s="142" t="s">
        <v>204</v>
      </c>
      <c r="G76" s="142" t="s">
        <v>204</v>
      </c>
      <c r="H76" s="294"/>
      <c r="I76" s="174">
        <v>9.7000000000000003E-2</v>
      </c>
      <c r="J76" s="145" t="s">
        <v>208</v>
      </c>
      <c r="K76" s="150" t="s">
        <v>241</v>
      </c>
      <c r="L76" s="145" t="s">
        <v>272</v>
      </c>
      <c r="M76" s="157"/>
      <c r="N76" s="157"/>
      <c r="O76" s="176"/>
      <c r="P76" s="157"/>
      <c r="Q76" s="448"/>
      <c r="R76" s="156"/>
      <c r="S76" s="155"/>
      <c r="T76" s="155"/>
      <c r="U76" s="143"/>
    </row>
    <row r="77" spans="2:60" ht="65.25" hidden="1" customHeight="1">
      <c r="B77" s="854"/>
      <c r="C77" s="144">
        <v>73</v>
      </c>
      <c r="D77" s="154" t="s">
        <v>242</v>
      </c>
      <c r="E77" s="146"/>
      <c r="F77" s="142" t="s">
        <v>204</v>
      </c>
      <c r="G77" s="142" t="s">
        <v>204</v>
      </c>
      <c r="H77" s="294"/>
      <c r="I77" s="176" t="s">
        <v>273</v>
      </c>
      <c r="J77" s="157" t="s">
        <v>208</v>
      </c>
      <c r="K77" s="147" t="s">
        <v>274</v>
      </c>
      <c r="L77" s="145" t="s">
        <v>275</v>
      </c>
      <c r="M77" s="157"/>
      <c r="N77" s="157"/>
      <c r="O77" s="176"/>
      <c r="P77" s="157"/>
      <c r="Q77" s="158"/>
      <c r="R77" s="160" t="s">
        <v>277</v>
      </c>
      <c r="S77" s="159" t="s">
        <v>276</v>
      </c>
      <c r="T77" s="159" t="s">
        <v>278</v>
      </c>
      <c r="U77" s="143"/>
      <c r="AS77" s="136"/>
    </row>
    <row r="78" spans="2:60" ht="66.75" hidden="1" customHeight="1">
      <c r="B78" s="854"/>
      <c r="C78" s="144">
        <v>74</v>
      </c>
      <c r="D78" s="154" t="s">
        <v>243</v>
      </c>
      <c r="E78" s="146"/>
      <c r="F78" s="142" t="s">
        <v>204</v>
      </c>
      <c r="G78" s="142" t="s">
        <v>204</v>
      </c>
      <c r="H78" s="294"/>
      <c r="I78" s="174">
        <v>0.16500000000000001</v>
      </c>
      <c r="J78" s="145" t="s">
        <v>208</v>
      </c>
      <c r="K78" s="150" t="s">
        <v>244</v>
      </c>
      <c r="L78" s="145" t="s">
        <v>279</v>
      </c>
      <c r="M78" s="157"/>
      <c r="N78" s="157"/>
      <c r="O78" s="176"/>
      <c r="P78" s="157"/>
      <c r="Q78" s="448"/>
      <c r="R78" s="160" t="s">
        <v>281</v>
      </c>
      <c r="S78" s="147" t="s">
        <v>280</v>
      </c>
      <c r="T78" s="159" t="s">
        <v>263</v>
      </c>
      <c r="U78" s="143"/>
    </row>
    <row r="79" spans="2:60" ht="30" hidden="1" customHeight="1">
      <c r="B79" s="854"/>
      <c r="C79" s="144">
        <v>75</v>
      </c>
      <c r="D79" s="154" t="s">
        <v>245</v>
      </c>
      <c r="E79" s="146"/>
      <c r="F79" s="142" t="s">
        <v>204</v>
      </c>
      <c r="G79" s="142" t="s">
        <v>204</v>
      </c>
      <c r="H79" s="294"/>
      <c r="I79" s="174">
        <v>0.3</v>
      </c>
      <c r="J79" s="145" t="s">
        <v>208</v>
      </c>
      <c r="K79" s="150" t="s">
        <v>246</v>
      </c>
      <c r="L79" s="145" t="s">
        <v>282</v>
      </c>
      <c r="M79" s="157"/>
      <c r="N79" s="157"/>
      <c r="O79" s="176"/>
      <c r="P79" s="157"/>
      <c r="Q79" s="448"/>
      <c r="R79" s="162" t="s">
        <v>247</v>
      </c>
      <c r="S79" s="150">
        <v>157</v>
      </c>
      <c r="T79" s="407" t="s">
        <v>202</v>
      </c>
      <c r="U79" s="143"/>
    </row>
    <row r="80" spans="2:60" ht="30" hidden="1" customHeight="1">
      <c r="B80" s="854"/>
      <c r="C80" s="144">
        <v>76</v>
      </c>
      <c r="D80" s="154" t="s">
        <v>248</v>
      </c>
      <c r="E80" s="146"/>
      <c r="F80" s="142" t="s">
        <v>204</v>
      </c>
      <c r="G80" s="142" t="s">
        <v>204</v>
      </c>
      <c r="H80" s="294"/>
      <c r="I80" s="175" t="e">
        <v>#N/A</v>
      </c>
      <c r="J80" s="153" t="s">
        <v>208</v>
      </c>
      <c r="K80" s="155"/>
      <c r="L80" s="153" t="e">
        <v>#N/A</v>
      </c>
      <c r="M80" s="177"/>
      <c r="N80" s="177"/>
      <c r="O80" s="178"/>
      <c r="P80" s="177"/>
      <c r="Q80" s="448"/>
      <c r="R80" s="156"/>
      <c r="S80" s="155"/>
      <c r="T80" s="155"/>
      <c r="U80" s="143"/>
    </row>
    <row r="81" spans="1:56" ht="30" hidden="1" customHeight="1">
      <c r="B81" s="854"/>
      <c r="C81" s="144">
        <v>77</v>
      </c>
      <c r="D81" s="154" t="s">
        <v>249</v>
      </c>
      <c r="E81" s="146"/>
      <c r="F81" s="142" t="s">
        <v>204</v>
      </c>
      <c r="G81" s="142" t="s">
        <v>204</v>
      </c>
      <c r="H81" s="294"/>
      <c r="I81" s="174">
        <v>0.12</v>
      </c>
      <c r="J81" s="145" t="s">
        <v>208</v>
      </c>
      <c r="K81" s="150" t="s">
        <v>250</v>
      </c>
      <c r="L81" s="145" t="s">
        <v>283</v>
      </c>
      <c r="M81" s="157"/>
      <c r="N81" s="157"/>
      <c r="O81" s="176"/>
      <c r="P81" s="157"/>
      <c r="Q81" s="448"/>
      <c r="R81" s="162" t="s">
        <v>251</v>
      </c>
      <c r="S81" s="150">
        <v>232</v>
      </c>
      <c r="T81" s="151" t="e">
        <v>#REF!</v>
      </c>
      <c r="U81" s="143"/>
      <c r="Y81" s="138"/>
      <c r="Z81" s="161"/>
      <c r="BD81" s="152"/>
    </row>
    <row r="82" spans="1:56" ht="117.75" hidden="1" customHeight="1">
      <c r="B82" s="854"/>
      <c r="C82" s="144">
        <v>78</v>
      </c>
      <c r="D82" s="154" t="s">
        <v>252</v>
      </c>
      <c r="E82" s="146"/>
      <c r="F82" s="142" t="s">
        <v>204</v>
      </c>
      <c r="G82" s="142" t="s">
        <v>204</v>
      </c>
      <c r="H82" s="294"/>
      <c r="I82" s="174">
        <v>0.188</v>
      </c>
      <c r="J82" s="145" t="s">
        <v>208</v>
      </c>
      <c r="K82" s="150" t="s">
        <v>253</v>
      </c>
      <c r="L82" s="145" t="s">
        <v>284</v>
      </c>
      <c r="M82" s="157"/>
      <c r="N82" s="157"/>
      <c r="O82" s="176"/>
      <c r="P82" s="157"/>
      <c r="Q82" s="448"/>
      <c r="R82" s="159" t="s">
        <v>286</v>
      </c>
      <c r="S82" s="159" t="s">
        <v>285</v>
      </c>
      <c r="T82" s="159" t="e">
        <v>#REF!</v>
      </c>
      <c r="U82" s="143"/>
      <c r="BD82" s="152"/>
    </row>
    <row r="83" spans="1:56" ht="30" hidden="1" customHeight="1">
      <c r="B83" s="854"/>
      <c r="C83" s="144">
        <v>79</v>
      </c>
      <c r="D83" s="154" t="s">
        <v>254</v>
      </c>
      <c r="E83" s="146"/>
      <c r="F83" s="142" t="s">
        <v>204</v>
      </c>
      <c r="G83" s="142" t="s">
        <v>204</v>
      </c>
      <c r="H83" s="294"/>
      <c r="I83" s="174">
        <v>8.5000000000000006E-2</v>
      </c>
      <c r="J83" s="145" t="s">
        <v>208</v>
      </c>
      <c r="K83" s="150" t="s">
        <v>255</v>
      </c>
      <c r="L83" s="145" t="s">
        <v>287</v>
      </c>
      <c r="M83" s="157"/>
      <c r="N83" s="157"/>
      <c r="O83" s="176"/>
      <c r="P83" s="157"/>
      <c r="Q83" s="448"/>
      <c r="R83" s="162" t="s">
        <v>256</v>
      </c>
      <c r="S83" s="150">
        <v>235</v>
      </c>
      <c r="T83" s="163" t="e">
        <v>#REF!</v>
      </c>
      <c r="U83" s="143"/>
      <c r="BD83" s="152"/>
    </row>
    <row r="84" spans="1:56" ht="30" hidden="1" customHeight="1">
      <c r="B84" s="854"/>
      <c r="C84" s="144">
        <v>80</v>
      </c>
      <c r="D84" s="154" t="s">
        <v>257</v>
      </c>
      <c r="E84" s="146"/>
      <c r="F84" s="142" t="s">
        <v>204</v>
      </c>
      <c r="G84" s="142" t="s">
        <v>204</v>
      </c>
      <c r="H84" s="294"/>
      <c r="I84" s="174">
        <v>0.38400000000000001</v>
      </c>
      <c r="J84" s="145" t="s">
        <v>208</v>
      </c>
      <c r="K84" s="150" t="s">
        <v>258</v>
      </c>
      <c r="L84" s="145" t="s">
        <v>288</v>
      </c>
      <c r="M84" s="157"/>
      <c r="N84" s="157"/>
      <c r="O84" s="176"/>
      <c r="P84" s="157"/>
      <c r="Q84" s="448"/>
      <c r="R84" s="162" t="s">
        <v>259</v>
      </c>
      <c r="S84" s="150">
        <v>229</v>
      </c>
      <c r="T84" s="407">
        <v>20</v>
      </c>
      <c r="U84" s="143"/>
    </row>
    <row r="86" spans="1:56">
      <c r="A86" s="136"/>
      <c r="B86" s="136"/>
      <c r="C86" s="136"/>
      <c r="D86" s="164"/>
      <c r="E86" s="136"/>
    </row>
    <row r="87" spans="1:56">
      <c r="A87" s="136"/>
      <c r="B87" s="136"/>
      <c r="C87" s="136"/>
      <c r="D87" s="164"/>
      <c r="E87" s="136"/>
    </row>
    <row r="88" spans="1:56">
      <c r="A88" s="136"/>
      <c r="B88" s="136"/>
      <c r="C88" s="136"/>
      <c r="D88" s="164"/>
      <c r="E88" s="136"/>
    </row>
    <row r="89" spans="1:56">
      <c r="C89" s="164" t="s">
        <v>260</v>
      </c>
    </row>
    <row r="90" spans="1:56" ht="25.5" customHeight="1">
      <c r="C90" s="853" t="s">
        <v>261</v>
      </c>
      <c r="D90" s="853"/>
      <c r="E90" s="853"/>
      <c r="F90" s="853"/>
      <c r="G90" s="853"/>
      <c r="H90" s="853"/>
      <c r="I90" s="853"/>
      <c r="J90" s="853"/>
      <c r="K90" s="853"/>
      <c r="L90" s="853"/>
      <c r="M90" s="141"/>
      <c r="N90" s="141"/>
      <c r="O90" s="171"/>
      <c r="P90" s="141"/>
    </row>
    <row r="91" spans="1:56">
      <c r="C91" s="164" t="s">
        <v>262</v>
      </c>
    </row>
    <row r="92" spans="1:56">
      <c r="C92" s="164"/>
    </row>
  </sheetData>
  <mergeCells count="26">
    <mergeCell ref="V9:X9"/>
    <mergeCell ref="B5:B14"/>
    <mergeCell ref="B15:B24"/>
    <mergeCell ref="B25:B29"/>
    <mergeCell ref="B30:B39"/>
    <mergeCell ref="V26:V27"/>
    <mergeCell ref="V29:V30"/>
    <mergeCell ref="W18:Z18"/>
    <mergeCell ref="V22:AB22"/>
    <mergeCell ref="W21:Z21"/>
    <mergeCell ref="C90:L90"/>
    <mergeCell ref="B75:B84"/>
    <mergeCell ref="AG28:AK28"/>
    <mergeCell ref="W19:Z19"/>
    <mergeCell ref="W20:Z20"/>
    <mergeCell ref="W27:Z27"/>
    <mergeCell ref="W26:Z26"/>
    <mergeCell ref="V32:V33"/>
    <mergeCell ref="W32:Z32"/>
    <mergeCell ref="W33:Z33"/>
    <mergeCell ref="W29:Z29"/>
    <mergeCell ref="W30:Z30"/>
    <mergeCell ref="B50:B59"/>
    <mergeCell ref="B60:B64"/>
    <mergeCell ref="B65:B74"/>
    <mergeCell ref="B40:B49"/>
  </mergeCells>
  <phoneticPr fontId="4"/>
  <conditionalFormatting sqref="T15:T74">
    <cfRule type="expression" dxfId="1" priority="1">
      <formula>$T15&lt;&gt;$S15</formula>
    </cfRule>
  </conditionalFormatting>
  <dataValidations count="1">
    <dataValidation type="list" allowBlank="1" showInputMessage="1" showErrorMessage="1" sqref="Q5:Q74">
      <formula1>"○,"</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&amp;C&amp;P/&amp;N</oddFooter>
  </headerFooter>
  <rowBreaks count="1" manualBreakCount="1">
    <brk id="76" min="21" max="3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T15:T74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AA66"/>
  <sheetViews>
    <sheetView showGridLines="0" zoomScale="85" zoomScaleNormal="85" workbookViewId="0">
      <selection activeCell="B24" sqref="B24"/>
    </sheetView>
  </sheetViews>
  <sheetFormatPr defaultRowHeight="18.75"/>
  <cols>
    <col min="1" max="1" width="6.375" style="7" customWidth="1"/>
    <col min="2" max="2" width="22" style="7" customWidth="1"/>
    <col min="3" max="8" width="8.625" style="7" customWidth="1"/>
    <col min="9" max="9" width="8.875" style="7" customWidth="1"/>
    <col min="10" max="10" width="9" style="7"/>
    <col min="11" max="11" width="4" style="7" customWidth="1"/>
    <col min="12" max="12" width="28.875" style="7" customWidth="1"/>
    <col min="13" max="14" width="9" style="7"/>
    <col min="15" max="15" width="9.125" style="7" customWidth="1"/>
    <col min="16" max="16384" width="9" style="7"/>
  </cols>
  <sheetData>
    <row r="1" spans="2:26">
      <c r="B1" s="10" t="s">
        <v>184</v>
      </c>
    </row>
    <row r="2" spans="2:26" ht="38.25" customHeight="1" thickBot="1">
      <c r="B2" s="314"/>
      <c r="C2" s="874" t="s">
        <v>481</v>
      </c>
      <c r="D2" s="875"/>
      <c r="E2" s="875"/>
      <c r="F2" s="875"/>
      <c r="G2" s="875"/>
      <c r="H2" s="876"/>
      <c r="I2" s="482" t="s">
        <v>61</v>
      </c>
      <c r="L2" s="10" t="s">
        <v>161</v>
      </c>
    </row>
    <row r="3" spans="2:26">
      <c r="B3" s="121" t="s">
        <v>42</v>
      </c>
      <c r="C3" s="127" t="s">
        <v>43</v>
      </c>
      <c r="D3" s="128" t="s">
        <v>162</v>
      </c>
      <c r="E3" s="128" t="s">
        <v>163</v>
      </c>
      <c r="F3" s="128" t="s">
        <v>44</v>
      </c>
      <c r="G3" s="128" t="s">
        <v>137</v>
      </c>
      <c r="H3" s="479" t="s">
        <v>55</v>
      </c>
      <c r="I3" s="483" t="str">
        <f>用途</f>
        <v>事務所</v>
      </c>
      <c r="L3" s="112" t="s">
        <v>156</v>
      </c>
      <c r="M3" s="111" t="s">
        <v>43</v>
      </c>
      <c r="N3" s="111" t="s">
        <v>143</v>
      </c>
      <c r="O3" s="111" t="s">
        <v>144</v>
      </c>
      <c r="P3" s="111" t="s">
        <v>145</v>
      </c>
      <c r="Q3" s="111" t="s">
        <v>146</v>
      </c>
      <c r="R3" s="111" t="s">
        <v>147</v>
      </c>
      <c r="S3" s="111" t="s">
        <v>148</v>
      </c>
      <c r="T3" s="111" t="s">
        <v>149</v>
      </c>
      <c r="U3" s="111" t="s">
        <v>150</v>
      </c>
      <c r="V3" s="111" t="s">
        <v>151</v>
      </c>
      <c r="W3" s="111" t="s">
        <v>152</v>
      </c>
      <c r="X3" s="111" t="s">
        <v>153</v>
      </c>
      <c r="Y3" s="111" t="s">
        <v>154</v>
      </c>
      <c r="Z3" s="111" t="s">
        <v>155</v>
      </c>
    </row>
    <row r="4" spans="2:26">
      <c r="B4" s="8" t="s">
        <v>45</v>
      </c>
      <c r="C4" s="8">
        <v>25.8</v>
      </c>
      <c r="D4" s="8">
        <v>24.7</v>
      </c>
      <c r="E4" s="8">
        <v>30.599999999999998</v>
      </c>
      <c r="F4" s="8">
        <v>27.200000000000003</v>
      </c>
      <c r="G4" s="8">
        <v>34.9</v>
      </c>
      <c r="H4" s="12">
        <v>28</v>
      </c>
      <c r="I4" s="13">
        <f ca="1">OFFSET($B$3,ROW()-3,MATCH($I$3,$C$3:$H$3,0))</f>
        <v>25.8</v>
      </c>
      <c r="L4" s="120" t="s">
        <v>139</v>
      </c>
      <c r="M4" s="4">
        <v>0.25800000000000001</v>
      </c>
      <c r="N4" s="4">
        <v>0.247</v>
      </c>
      <c r="O4" s="4">
        <v>0.247</v>
      </c>
      <c r="P4" s="4">
        <v>0.30599999999999999</v>
      </c>
      <c r="Q4" s="4">
        <v>0.34899999999999998</v>
      </c>
      <c r="R4" s="4">
        <v>0.27200000000000002</v>
      </c>
      <c r="S4" s="4">
        <v>0.35</v>
      </c>
      <c r="T4" s="4">
        <v>0.255</v>
      </c>
      <c r="U4" s="4">
        <v>0.152</v>
      </c>
      <c r="V4" s="4">
        <v>0.35399999999999998</v>
      </c>
      <c r="W4" s="4">
        <v>0.28999999999999998</v>
      </c>
      <c r="X4" s="4">
        <v>8.5000000000000006E-2</v>
      </c>
      <c r="Y4" s="4">
        <v>0</v>
      </c>
      <c r="Z4" s="4">
        <v>0.77</v>
      </c>
    </row>
    <row r="5" spans="2:26">
      <c r="B5" s="8" t="s">
        <v>46</v>
      </c>
      <c r="C5" s="8">
        <v>4.5</v>
      </c>
      <c r="D5" s="8">
        <v>4.3999999999999995</v>
      </c>
      <c r="E5" s="8">
        <v>5.4</v>
      </c>
      <c r="F5" s="8">
        <v>4.8</v>
      </c>
      <c r="G5" s="8">
        <v>6.2</v>
      </c>
      <c r="H5" s="12">
        <v>4.9000000000000004</v>
      </c>
      <c r="I5" s="13">
        <f t="shared" ref="I5:I18" ca="1" si="0">OFFSET($B$3,ROW()-3,MATCH($I$3,$C$3:$H$3,0))</f>
        <v>4.5</v>
      </c>
      <c r="L5" s="120" t="s">
        <v>157</v>
      </c>
      <c r="M5" s="4">
        <v>4.4999999999999998E-2</v>
      </c>
      <c r="N5" s="4">
        <v>4.3999999999999997E-2</v>
      </c>
      <c r="O5" s="4">
        <v>4.3999999999999997E-2</v>
      </c>
      <c r="P5" s="4">
        <v>5.3999999999999999E-2</v>
      </c>
      <c r="Q5" s="4">
        <v>6.2E-2</v>
      </c>
      <c r="R5" s="4">
        <v>4.8000000000000001E-2</v>
      </c>
      <c r="S5" s="4">
        <v>6.0999999999999999E-2</v>
      </c>
      <c r="T5" s="4">
        <v>4.4999999999999998E-2</v>
      </c>
      <c r="U5" s="4">
        <v>2.5999999999999999E-2</v>
      </c>
      <c r="V5" s="4">
        <v>6.2E-2</v>
      </c>
      <c r="W5" s="4">
        <v>5.0999999999999997E-2</v>
      </c>
      <c r="X5" s="4">
        <v>1.4999999999999999E-2</v>
      </c>
      <c r="Y5" s="4">
        <v>0</v>
      </c>
      <c r="Z5" s="4">
        <v>0.1</v>
      </c>
    </row>
    <row r="6" spans="2:26">
      <c r="B6" s="8" t="s">
        <v>47</v>
      </c>
      <c r="C6" s="8">
        <v>3.1</v>
      </c>
      <c r="D6" s="8">
        <v>1.0999999999999999</v>
      </c>
      <c r="E6" s="8">
        <v>2.2999999999999998</v>
      </c>
      <c r="F6" s="8">
        <v>2.5</v>
      </c>
      <c r="G6" s="8">
        <v>1.0999999999999999</v>
      </c>
      <c r="H6" s="12">
        <v>3.6</v>
      </c>
      <c r="I6" s="13">
        <f t="shared" ca="1" si="0"/>
        <v>3.1</v>
      </c>
      <c r="L6" s="120" t="s">
        <v>140</v>
      </c>
      <c r="M6" s="4">
        <v>3.1E-2</v>
      </c>
      <c r="N6" s="4">
        <v>1.0999999999999999E-2</v>
      </c>
      <c r="O6" s="4">
        <v>1.0999999999999999E-2</v>
      </c>
      <c r="P6" s="4">
        <v>2.3E-2</v>
      </c>
      <c r="Q6" s="4">
        <v>1.0999999999999999E-2</v>
      </c>
      <c r="R6" s="4">
        <v>2.5000000000000001E-2</v>
      </c>
      <c r="S6" s="4">
        <v>4.2000000000000003E-2</v>
      </c>
      <c r="T6" s="4">
        <v>4.2000000000000003E-2</v>
      </c>
      <c r="U6" s="4">
        <v>1.7999999999999999E-2</v>
      </c>
      <c r="V6" s="4">
        <v>4.2999999999999997E-2</v>
      </c>
      <c r="W6" s="4">
        <v>3.5000000000000003E-2</v>
      </c>
      <c r="X6" s="4">
        <v>1.4E-2</v>
      </c>
      <c r="Y6" s="4">
        <v>0</v>
      </c>
      <c r="Z6" s="4">
        <v>0.1</v>
      </c>
    </row>
    <row r="7" spans="2:26">
      <c r="B7" s="8" t="s">
        <v>48</v>
      </c>
      <c r="C7" s="8">
        <v>11.799999999999999</v>
      </c>
      <c r="D7" s="8">
        <v>4</v>
      </c>
      <c r="E7" s="8">
        <v>8.6999999999999993</v>
      </c>
      <c r="F7" s="8">
        <v>9.5</v>
      </c>
      <c r="G7" s="8">
        <v>4</v>
      </c>
      <c r="H7" s="12">
        <v>13.6</v>
      </c>
      <c r="I7" s="13">
        <f t="shared" ca="1" si="0"/>
        <v>11.799999999999999</v>
      </c>
      <c r="L7" s="120" t="s">
        <v>159</v>
      </c>
      <c r="M7" s="4">
        <v>0.11799999999999999</v>
      </c>
      <c r="N7" s="4">
        <v>0.04</v>
      </c>
      <c r="O7" s="4">
        <v>0.04</v>
      </c>
      <c r="P7" s="4">
        <v>8.6999999999999994E-2</v>
      </c>
      <c r="Q7" s="4">
        <v>0.04</v>
      </c>
      <c r="R7" s="4">
        <v>9.5000000000000001E-2</v>
      </c>
      <c r="S7" s="4">
        <v>0.16</v>
      </c>
      <c r="T7" s="4">
        <v>0.158</v>
      </c>
      <c r="U7" s="4">
        <v>6.9000000000000006E-2</v>
      </c>
      <c r="V7" s="4">
        <v>0.16200000000000001</v>
      </c>
      <c r="W7" s="4">
        <v>0.13300000000000001</v>
      </c>
      <c r="X7" s="4">
        <v>5.2999999999999999E-2</v>
      </c>
      <c r="Y7" s="4">
        <v>0</v>
      </c>
      <c r="Z7" s="4">
        <v>0</v>
      </c>
    </row>
    <row r="8" spans="2:26">
      <c r="B8" s="20" t="s">
        <v>66</v>
      </c>
      <c r="C8" s="132">
        <f>SUM(C4:C7)</f>
        <v>45.199999999999996</v>
      </c>
      <c r="D8" s="132">
        <f t="shared" ref="D8:H8" si="1">SUM(D4:D7)</f>
        <v>34.200000000000003</v>
      </c>
      <c r="E8" s="132">
        <f t="shared" si="1"/>
        <v>47</v>
      </c>
      <c r="F8" s="132">
        <f t="shared" si="1"/>
        <v>44</v>
      </c>
      <c r="G8" s="132">
        <f t="shared" si="1"/>
        <v>46.2</v>
      </c>
      <c r="H8" s="480">
        <f t="shared" si="1"/>
        <v>50.1</v>
      </c>
      <c r="I8" s="13">
        <f t="shared" ca="1" si="0"/>
        <v>45.199999999999996</v>
      </c>
      <c r="L8" s="120" t="s">
        <v>138</v>
      </c>
      <c r="M8" s="4">
        <v>1.4E-2</v>
      </c>
      <c r="N8" s="4">
        <v>8.9999999999999993E-3</v>
      </c>
      <c r="O8" s="4">
        <v>8.9999999999999993E-3</v>
      </c>
      <c r="P8" s="4">
        <v>0.12</v>
      </c>
      <c r="Q8" s="4">
        <v>4.0000000000000001E-3</v>
      </c>
      <c r="R8" s="4">
        <v>0.18</v>
      </c>
      <c r="S8" s="4">
        <v>3.0000000000000001E-3</v>
      </c>
      <c r="T8" s="4">
        <v>5.0000000000000001E-3</v>
      </c>
      <c r="U8" s="4">
        <v>8.0000000000000002E-3</v>
      </c>
      <c r="V8" s="4">
        <v>3.0000000000000001E-3</v>
      </c>
      <c r="W8" s="4">
        <v>5.0000000000000001E-3</v>
      </c>
      <c r="X8" s="4">
        <v>2E-3</v>
      </c>
      <c r="Y8" s="4">
        <v>0</v>
      </c>
      <c r="Z8" s="4">
        <v>0</v>
      </c>
    </row>
    <row r="9" spans="2:26">
      <c r="B9" s="130" t="s">
        <v>49</v>
      </c>
      <c r="C9" s="8">
        <v>1.4</v>
      </c>
      <c r="D9" s="8">
        <v>0.89999999999999991</v>
      </c>
      <c r="E9" s="8">
        <v>12</v>
      </c>
      <c r="F9" s="8">
        <v>18</v>
      </c>
      <c r="G9" s="8">
        <v>0.4</v>
      </c>
      <c r="H9" s="12">
        <v>0.5</v>
      </c>
      <c r="I9" s="13">
        <f t="shared" ca="1" si="0"/>
        <v>1.4</v>
      </c>
      <c r="L9" s="120" t="s">
        <v>20</v>
      </c>
      <c r="M9" s="4">
        <v>0.20200000000000001</v>
      </c>
      <c r="N9" s="4">
        <v>0.20799999999999999</v>
      </c>
      <c r="O9" s="4">
        <v>0.20799999999999999</v>
      </c>
      <c r="P9" s="4">
        <v>0.12</v>
      </c>
      <c r="Q9" s="4">
        <v>0.187</v>
      </c>
      <c r="R9" s="4">
        <v>0.109</v>
      </c>
      <c r="S9" s="4">
        <v>4.4999999999999998E-2</v>
      </c>
      <c r="T9" s="4">
        <v>0.14599999999999999</v>
      </c>
      <c r="U9" s="4">
        <v>0.23799999999999999</v>
      </c>
      <c r="V9" s="4">
        <v>4.4999999999999998E-2</v>
      </c>
      <c r="W9" s="4">
        <v>0.22700000000000001</v>
      </c>
      <c r="X9" s="4">
        <v>4.9000000000000002E-2</v>
      </c>
      <c r="Y9" s="4">
        <v>0.33</v>
      </c>
      <c r="Z9" s="4">
        <v>0.01</v>
      </c>
    </row>
    <row r="10" spans="2:26">
      <c r="B10" s="8" t="s">
        <v>50</v>
      </c>
      <c r="C10" s="8">
        <v>20.200000000000003</v>
      </c>
      <c r="D10" s="8">
        <v>20.8</v>
      </c>
      <c r="E10" s="8">
        <v>12</v>
      </c>
      <c r="F10" s="8">
        <v>10.9</v>
      </c>
      <c r="G10" s="8">
        <v>18.7</v>
      </c>
      <c r="H10" s="12">
        <v>14</v>
      </c>
      <c r="I10" s="13">
        <f t="shared" ca="1" si="0"/>
        <v>20.200000000000003</v>
      </c>
      <c r="L10" s="120" t="s">
        <v>69</v>
      </c>
      <c r="M10" s="4">
        <v>0.184</v>
      </c>
      <c r="N10" s="4">
        <v>0.192</v>
      </c>
      <c r="O10" s="4">
        <v>0.192</v>
      </c>
      <c r="P10" s="4">
        <v>0.11</v>
      </c>
      <c r="Q10" s="4">
        <v>0.17299999999999999</v>
      </c>
      <c r="R10" s="4">
        <v>0.10100000000000001</v>
      </c>
      <c r="S10" s="4">
        <v>0.30599999999999999</v>
      </c>
      <c r="T10" s="4">
        <v>0.13400000000000001</v>
      </c>
      <c r="U10" s="4">
        <v>0.108</v>
      </c>
      <c r="V10" s="4">
        <v>0.155</v>
      </c>
      <c r="W10" s="4">
        <v>0.20699999999999999</v>
      </c>
      <c r="X10" s="4">
        <v>4.4999999999999998E-2</v>
      </c>
      <c r="Y10" s="4">
        <v>0</v>
      </c>
      <c r="Z10" s="4">
        <v>0.01</v>
      </c>
    </row>
    <row r="11" spans="2:26">
      <c r="B11" s="8" t="s">
        <v>51</v>
      </c>
      <c r="C11" s="8">
        <v>18.399999999999999</v>
      </c>
      <c r="D11" s="8">
        <v>19.2</v>
      </c>
      <c r="E11" s="8">
        <v>11</v>
      </c>
      <c r="F11" s="8">
        <v>10.100000000000001</v>
      </c>
      <c r="G11" s="8">
        <v>17.299999999999997</v>
      </c>
      <c r="H11" s="12">
        <v>18.2</v>
      </c>
      <c r="I11" s="13">
        <f t="shared" ca="1" si="0"/>
        <v>18.399999999999999</v>
      </c>
      <c r="L11" s="120" t="s">
        <v>16</v>
      </c>
      <c r="M11" s="4">
        <v>6.2E-2</v>
      </c>
      <c r="N11" s="4">
        <v>0.128</v>
      </c>
      <c r="O11" s="4">
        <v>0.128</v>
      </c>
      <c r="P11" s="4">
        <v>8.3000000000000004E-2</v>
      </c>
      <c r="Q11" s="4">
        <v>5.8000000000000003E-2</v>
      </c>
      <c r="R11" s="4">
        <v>7.0000000000000007E-2</v>
      </c>
      <c r="S11" s="4">
        <v>1.4E-2</v>
      </c>
      <c r="T11" s="4">
        <v>6.4000000000000001E-2</v>
      </c>
      <c r="U11" s="4">
        <v>0.14599999999999999</v>
      </c>
      <c r="V11" s="4">
        <v>1.4E-2</v>
      </c>
      <c r="W11" s="4">
        <v>2.1999999999999999E-2</v>
      </c>
      <c r="X11" s="4">
        <v>2.1000000000000001E-2</v>
      </c>
      <c r="Y11" s="4">
        <v>0.67</v>
      </c>
      <c r="Z11" s="4">
        <v>0.01</v>
      </c>
    </row>
    <row r="12" spans="2:26">
      <c r="B12" s="20" t="s">
        <v>67</v>
      </c>
      <c r="C12" s="132">
        <f>SUM(C10:C11)</f>
        <v>38.6</v>
      </c>
      <c r="D12" s="132">
        <f t="shared" ref="D12:H12" si="2">SUM(D10:D11)</f>
        <v>40</v>
      </c>
      <c r="E12" s="132">
        <f t="shared" si="2"/>
        <v>23</v>
      </c>
      <c r="F12" s="132">
        <f t="shared" si="2"/>
        <v>21</v>
      </c>
      <c r="G12" s="132">
        <f t="shared" si="2"/>
        <v>36</v>
      </c>
      <c r="H12" s="480">
        <f t="shared" si="2"/>
        <v>32.200000000000003</v>
      </c>
      <c r="I12" s="13">
        <f t="shared" ca="1" si="0"/>
        <v>38.6</v>
      </c>
      <c r="L12" s="120" t="s">
        <v>141</v>
      </c>
      <c r="M12" s="4">
        <v>8.0000000000000002E-3</v>
      </c>
      <c r="N12" s="4">
        <v>8.9999999999999993E-3</v>
      </c>
      <c r="O12" s="4">
        <v>8.9999999999999993E-3</v>
      </c>
      <c r="P12" s="4">
        <v>1.2E-2</v>
      </c>
      <c r="Q12" s="4">
        <v>4.0000000000000001E-3</v>
      </c>
      <c r="R12" s="4">
        <v>0.01</v>
      </c>
      <c r="S12" s="4">
        <v>2E-3</v>
      </c>
      <c r="T12" s="4">
        <v>5.0000000000000001E-3</v>
      </c>
      <c r="U12" s="4">
        <v>5.0000000000000001E-3</v>
      </c>
      <c r="V12" s="4">
        <v>2E-3</v>
      </c>
      <c r="W12" s="4">
        <v>3.0000000000000001E-3</v>
      </c>
      <c r="X12" s="4">
        <v>2E-3</v>
      </c>
      <c r="Y12" s="4">
        <v>0</v>
      </c>
      <c r="Z12" s="4">
        <v>0</v>
      </c>
    </row>
    <row r="13" spans="2:26">
      <c r="B13" s="8" t="s">
        <v>52</v>
      </c>
      <c r="C13" s="8">
        <v>6.2</v>
      </c>
      <c r="D13" s="8">
        <v>12.8</v>
      </c>
      <c r="E13" s="8">
        <v>8.3000000000000007</v>
      </c>
      <c r="F13" s="8">
        <v>7.0000000000000009</v>
      </c>
      <c r="G13" s="8">
        <v>5.8000000000000007</v>
      </c>
      <c r="H13" s="12">
        <v>5.2</v>
      </c>
      <c r="I13" s="13">
        <f t="shared" ca="1" si="0"/>
        <v>6.2</v>
      </c>
      <c r="L13" s="120" t="s">
        <v>142</v>
      </c>
      <c r="M13" s="4">
        <v>2.5000000000000001E-2</v>
      </c>
      <c r="N13" s="4">
        <v>5.3999999999999999E-2</v>
      </c>
      <c r="O13" s="4">
        <v>5.3999999999999999E-2</v>
      </c>
      <c r="P13" s="4">
        <v>3.5000000000000003E-2</v>
      </c>
      <c r="Q13" s="4">
        <v>2.4E-2</v>
      </c>
      <c r="R13" s="4">
        <v>0.03</v>
      </c>
      <c r="S13" s="4">
        <v>6.0000000000000001E-3</v>
      </c>
      <c r="T13" s="4">
        <v>2.7E-2</v>
      </c>
      <c r="U13" s="4">
        <v>2.9000000000000001E-2</v>
      </c>
      <c r="V13" s="4">
        <v>6.0000000000000001E-3</v>
      </c>
      <c r="W13" s="4">
        <v>8.9999999999999993E-3</v>
      </c>
      <c r="X13" s="4">
        <v>8.9999999999999993E-3</v>
      </c>
      <c r="Y13" s="4">
        <v>0</v>
      </c>
      <c r="Z13" s="4">
        <v>0</v>
      </c>
    </row>
    <row r="14" spans="2:26">
      <c r="B14" s="8" t="s">
        <v>53</v>
      </c>
      <c r="C14" s="8">
        <v>2.5</v>
      </c>
      <c r="D14" s="8">
        <v>5.4</v>
      </c>
      <c r="E14" s="8">
        <v>3.5000000000000004</v>
      </c>
      <c r="F14" s="8">
        <v>3</v>
      </c>
      <c r="G14" s="8">
        <v>2.4</v>
      </c>
      <c r="H14" s="12">
        <v>1.5</v>
      </c>
      <c r="I14" s="13">
        <f t="shared" ca="1" si="0"/>
        <v>2.5</v>
      </c>
      <c r="L14" s="120" t="s">
        <v>25</v>
      </c>
      <c r="M14" s="4">
        <v>5.2999999999999999E-2</v>
      </c>
      <c r="N14" s="4">
        <v>0.06</v>
      </c>
      <c r="O14" s="4">
        <v>0.06</v>
      </c>
      <c r="P14" s="4">
        <v>0.05</v>
      </c>
      <c r="Q14" s="4">
        <v>0.09</v>
      </c>
      <c r="R14" s="4">
        <v>0.06</v>
      </c>
      <c r="S14" s="4">
        <v>1.2E-2</v>
      </c>
      <c r="T14" s="4">
        <v>0.12</v>
      </c>
      <c r="U14" s="4">
        <v>0.2</v>
      </c>
      <c r="V14" s="4">
        <v>0.155</v>
      </c>
      <c r="W14" s="4">
        <v>1.9E-2</v>
      </c>
      <c r="X14" s="4">
        <v>0.70699999999999996</v>
      </c>
      <c r="Y14" s="4">
        <v>0</v>
      </c>
      <c r="Z14" s="4">
        <v>0</v>
      </c>
    </row>
    <row r="15" spans="2:26">
      <c r="B15" s="8" t="s">
        <v>54</v>
      </c>
      <c r="C15" s="8">
        <v>0.8</v>
      </c>
      <c r="D15" s="8">
        <v>0.89999999999999991</v>
      </c>
      <c r="E15" s="8">
        <v>1.2</v>
      </c>
      <c r="F15" s="8">
        <v>1</v>
      </c>
      <c r="G15" s="8">
        <v>0.4</v>
      </c>
      <c r="H15" s="12">
        <v>0.3</v>
      </c>
      <c r="I15" s="13">
        <f t="shared" ca="1" si="0"/>
        <v>0.8</v>
      </c>
      <c r="L15" s="120" t="s">
        <v>158</v>
      </c>
      <c r="M15" s="4">
        <f>ROUND(SUM(M4:M14),0)</f>
        <v>1</v>
      </c>
      <c r="N15" s="4">
        <f t="shared" ref="N15:Z15" si="3">ROUND(SUM(N4:N14),0)</f>
        <v>1</v>
      </c>
      <c r="O15" s="4">
        <f t="shared" si="3"/>
        <v>1</v>
      </c>
      <c r="P15" s="4">
        <f t="shared" si="3"/>
        <v>1</v>
      </c>
      <c r="Q15" s="4">
        <f t="shared" si="3"/>
        <v>1</v>
      </c>
      <c r="R15" s="4">
        <f t="shared" si="3"/>
        <v>1</v>
      </c>
      <c r="S15" s="4">
        <f t="shared" si="3"/>
        <v>1</v>
      </c>
      <c r="T15" s="4">
        <f t="shared" si="3"/>
        <v>1</v>
      </c>
      <c r="U15" s="4">
        <f t="shared" si="3"/>
        <v>1</v>
      </c>
      <c r="V15" s="4">
        <f t="shared" si="3"/>
        <v>1</v>
      </c>
      <c r="W15" s="4">
        <f t="shared" si="3"/>
        <v>1</v>
      </c>
      <c r="X15" s="4">
        <f t="shared" si="3"/>
        <v>1</v>
      </c>
      <c r="Y15" s="4">
        <f t="shared" si="3"/>
        <v>1</v>
      </c>
      <c r="Z15" s="4">
        <f t="shared" si="3"/>
        <v>1</v>
      </c>
    </row>
    <row r="16" spans="2:26" ht="21.75" customHeight="1">
      <c r="B16" s="20" t="s">
        <v>68</v>
      </c>
      <c r="C16" s="132">
        <f>SUM(C13:C15)</f>
        <v>9.5</v>
      </c>
      <c r="D16" s="132">
        <f t="shared" ref="D16:H16" si="4">SUM(D13:D15)</f>
        <v>19.100000000000001</v>
      </c>
      <c r="E16" s="132">
        <f t="shared" si="4"/>
        <v>13</v>
      </c>
      <c r="F16" s="132">
        <f t="shared" si="4"/>
        <v>11</v>
      </c>
      <c r="G16" s="132">
        <f t="shared" si="4"/>
        <v>8.6000000000000014</v>
      </c>
      <c r="H16" s="480">
        <f t="shared" si="4"/>
        <v>7</v>
      </c>
      <c r="I16" s="13">
        <f t="shared" ca="1" si="0"/>
        <v>9.5</v>
      </c>
      <c r="L16" s="120" t="s">
        <v>658</v>
      </c>
      <c r="M16" s="4">
        <v>0.05</v>
      </c>
      <c r="N16" s="4">
        <v>2.7E-2</v>
      </c>
      <c r="O16" s="4">
        <v>2.7E-2</v>
      </c>
      <c r="P16" s="4">
        <v>0.03</v>
      </c>
      <c r="Q16" s="4">
        <v>6.7000000000000004E-2</v>
      </c>
      <c r="R16" s="4">
        <v>2.9000000000000001E-2</v>
      </c>
      <c r="S16" s="4">
        <v>8.0000000000000002E-3</v>
      </c>
      <c r="T16" s="4">
        <v>4.2999999999999997E-2</v>
      </c>
      <c r="U16" s="4">
        <v>2.9000000000000001E-2</v>
      </c>
      <c r="V16" s="4">
        <v>8.0000000000000002E-3</v>
      </c>
      <c r="W16" s="4">
        <v>1.7999999999999999E-2</v>
      </c>
      <c r="X16" s="4">
        <v>0.01</v>
      </c>
      <c r="Y16" s="4">
        <v>0</v>
      </c>
      <c r="Z16" s="4">
        <v>0</v>
      </c>
    </row>
    <row r="17" spans="2:27">
      <c r="B17" s="23" t="s">
        <v>55</v>
      </c>
      <c r="C17" s="8">
        <v>5.3</v>
      </c>
      <c r="D17" s="8">
        <v>6</v>
      </c>
      <c r="E17" s="8">
        <v>5</v>
      </c>
      <c r="F17" s="8">
        <v>6</v>
      </c>
      <c r="G17" s="8">
        <v>9</v>
      </c>
      <c r="H17" s="12">
        <v>10.1</v>
      </c>
      <c r="I17" s="13">
        <f t="shared" ca="1" si="0"/>
        <v>5.3</v>
      </c>
      <c r="L17" s="120" t="s">
        <v>659</v>
      </c>
      <c r="M17" s="4">
        <v>0.13600000000000001</v>
      </c>
      <c r="N17" s="4">
        <v>0.10199999999999999</v>
      </c>
      <c r="O17" s="4">
        <v>0.10199999999999999</v>
      </c>
      <c r="P17" s="4">
        <v>0.14099999999999999</v>
      </c>
      <c r="Q17" s="4">
        <v>0.13800000000000001</v>
      </c>
      <c r="R17" s="4">
        <v>0.13200000000000001</v>
      </c>
      <c r="S17" s="4">
        <v>8.0000000000000002E-3</v>
      </c>
      <c r="T17" s="4">
        <v>0.15</v>
      </c>
      <c r="U17" s="4">
        <v>0.08</v>
      </c>
      <c r="V17" s="4">
        <v>0.31</v>
      </c>
      <c r="W17" s="4">
        <v>0.152</v>
      </c>
      <c r="X17" s="4">
        <v>0.05</v>
      </c>
      <c r="Y17" s="4">
        <v>0</v>
      </c>
      <c r="Z17" s="4">
        <v>3.0000000000000001E-3</v>
      </c>
    </row>
    <row r="18" spans="2:27">
      <c r="B18" s="20" t="s">
        <v>72</v>
      </c>
      <c r="C18" s="132">
        <v>5.3</v>
      </c>
      <c r="D18" s="132">
        <v>6</v>
      </c>
      <c r="E18" s="132">
        <v>5</v>
      </c>
      <c r="F18" s="132">
        <v>6</v>
      </c>
      <c r="G18" s="132">
        <v>9</v>
      </c>
      <c r="H18" s="480">
        <v>10.1</v>
      </c>
      <c r="I18" s="13">
        <f t="shared" ca="1" si="0"/>
        <v>5.3</v>
      </c>
      <c r="L18" s="120" t="s">
        <v>660</v>
      </c>
      <c r="M18" s="4">
        <v>0.45200000000000001</v>
      </c>
      <c r="N18" s="4">
        <v>0.34</v>
      </c>
      <c r="O18" s="4">
        <v>0.34</v>
      </c>
      <c r="P18" s="4">
        <v>0.47</v>
      </c>
      <c r="Q18" s="4">
        <v>0.46</v>
      </c>
      <c r="R18" s="4">
        <v>0.44</v>
      </c>
      <c r="S18" s="4">
        <v>0.61299999999999999</v>
      </c>
      <c r="T18" s="4">
        <v>0.5</v>
      </c>
      <c r="U18" s="4">
        <v>0.26600000000000001</v>
      </c>
      <c r="V18" s="4">
        <v>0.621</v>
      </c>
      <c r="W18" s="4">
        <v>0.50800000000000001</v>
      </c>
      <c r="X18" s="4">
        <v>0.16700000000000001</v>
      </c>
      <c r="Y18" s="4">
        <v>0</v>
      </c>
      <c r="Z18" s="4">
        <v>0.01</v>
      </c>
    </row>
    <row r="19" spans="2:27">
      <c r="B19" s="131" t="s">
        <v>56</v>
      </c>
      <c r="C19" s="126">
        <f>SUM(C8,C9,C12,C16,C18)</f>
        <v>99.999999999999986</v>
      </c>
      <c r="D19" s="126">
        <f>INT(SUM(D8,D9,D12,D16,D18))</f>
        <v>100</v>
      </c>
      <c r="E19" s="126">
        <f>INT(SUM(E8,E9,E12,E16,E18))</f>
        <v>100</v>
      </c>
      <c r="F19" s="126">
        <f>INT(SUM(F8,F9,F12,F16,F18))</f>
        <v>100</v>
      </c>
      <c r="G19" s="126">
        <f>INT(SUM(G8,G9,G12,G16,G18))</f>
        <v>100</v>
      </c>
      <c r="H19" s="481">
        <f>SUM(H8,H9,H12,H16,H18)</f>
        <v>99.9</v>
      </c>
      <c r="I19" s="129">
        <v>100</v>
      </c>
      <c r="L19" s="7" t="s">
        <v>160</v>
      </c>
    </row>
    <row r="20" spans="2:27">
      <c r="B20" s="243" t="s">
        <v>63</v>
      </c>
      <c r="C20" s="244"/>
      <c r="D20" s="244"/>
      <c r="E20" s="244"/>
      <c r="F20" s="244"/>
      <c r="G20" s="244"/>
      <c r="H20" s="244"/>
      <c r="I20" s="129">
        <v>0</v>
      </c>
      <c r="AA20" s="7" t="s">
        <v>482</v>
      </c>
    </row>
    <row r="21" spans="2:27">
      <c r="B21" s="23" t="s">
        <v>663</v>
      </c>
      <c r="C21" s="8">
        <v>5</v>
      </c>
      <c r="D21" s="8">
        <v>2.7</v>
      </c>
      <c r="E21" s="8">
        <v>3</v>
      </c>
      <c r="F21" s="8">
        <v>2.9000000000000004</v>
      </c>
      <c r="G21" s="8">
        <v>6.7</v>
      </c>
      <c r="H21" s="12">
        <v>2.1</v>
      </c>
      <c r="I21" s="478">
        <f t="shared" ref="I21:I23" ca="1" si="5">OFFSET($B$3,ROW()-3,MATCH($I$3,$C$3:$H$3,0))</f>
        <v>5</v>
      </c>
      <c r="L21" s="120" t="s">
        <v>139</v>
      </c>
      <c r="M21" s="11">
        <f t="shared" ref="M21:Z21" si="6">M4*100</f>
        <v>25.8</v>
      </c>
      <c r="N21" s="11">
        <f t="shared" si="6"/>
        <v>24.7</v>
      </c>
      <c r="O21" s="11">
        <f t="shared" si="6"/>
        <v>24.7</v>
      </c>
      <c r="P21" s="11">
        <f t="shared" si="6"/>
        <v>30.599999999999998</v>
      </c>
      <c r="Q21" s="11">
        <f t="shared" si="6"/>
        <v>34.9</v>
      </c>
      <c r="R21" s="11">
        <f t="shared" si="6"/>
        <v>27.200000000000003</v>
      </c>
      <c r="S21" s="11">
        <f t="shared" si="6"/>
        <v>35</v>
      </c>
      <c r="T21" s="11">
        <f t="shared" si="6"/>
        <v>25.5</v>
      </c>
      <c r="U21" s="11">
        <f t="shared" si="6"/>
        <v>15.2</v>
      </c>
      <c r="V21" s="11">
        <f t="shared" si="6"/>
        <v>35.4</v>
      </c>
      <c r="W21" s="11">
        <f t="shared" si="6"/>
        <v>28.999999999999996</v>
      </c>
      <c r="X21" s="11">
        <f t="shared" si="6"/>
        <v>8.5</v>
      </c>
      <c r="Y21" s="11">
        <f t="shared" si="6"/>
        <v>0</v>
      </c>
      <c r="Z21" s="11">
        <f t="shared" si="6"/>
        <v>77</v>
      </c>
      <c r="AA21" s="125">
        <f>ROUND(AVERAGE(S21:W21),1)</f>
        <v>28</v>
      </c>
    </row>
    <row r="22" spans="2:27">
      <c r="B22" s="23" t="s">
        <v>664</v>
      </c>
      <c r="C22" s="8">
        <v>13.600000000000001</v>
      </c>
      <c r="D22" s="8">
        <v>10.199999999999999</v>
      </c>
      <c r="E22" s="8">
        <v>14.099999999999998</v>
      </c>
      <c r="F22" s="8">
        <v>13.200000000000001</v>
      </c>
      <c r="G22" s="8">
        <v>13.8</v>
      </c>
      <c r="H22" s="12">
        <v>14</v>
      </c>
      <c r="I22" s="13">
        <f t="shared" ca="1" si="5"/>
        <v>13.600000000000001</v>
      </c>
      <c r="L22" s="120" t="s">
        <v>157</v>
      </c>
      <c r="M22" s="11">
        <f t="shared" ref="M22:Z22" si="7">M5*100</f>
        <v>4.5</v>
      </c>
      <c r="N22" s="11">
        <f t="shared" si="7"/>
        <v>4.3999999999999995</v>
      </c>
      <c r="O22" s="11">
        <f t="shared" si="7"/>
        <v>4.3999999999999995</v>
      </c>
      <c r="P22" s="11">
        <f t="shared" si="7"/>
        <v>5.4</v>
      </c>
      <c r="Q22" s="11">
        <f t="shared" si="7"/>
        <v>6.2</v>
      </c>
      <c r="R22" s="11">
        <f t="shared" si="7"/>
        <v>4.8</v>
      </c>
      <c r="S22" s="11">
        <f t="shared" si="7"/>
        <v>6.1</v>
      </c>
      <c r="T22" s="11">
        <f t="shared" si="7"/>
        <v>4.5</v>
      </c>
      <c r="U22" s="11">
        <f t="shared" si="7"/>
        <v>2.6</v>
      </c>
      <c r="V22" s="11">
        <f t="shared" si="7"/>
        <v>6.2</v>
      </c>
      <c r="W22" s="11">
        <f t="shared" si="7"/>
        <v>5.0999999999999996</v>
      </c>
      <c r="X22" s="11">
        <f t="shared" si="7"/>
        <v>1.5</v>
      </c>
      <c r="Y22" s="11">
        <f t="shared" si="7"/>
        <v>0</v>
      </c>
      <c r="Z22" s="11">
        <f t="shared" si="7"/>
        <v>10</v>
      </c>
      <c r="AA22" s="125">
        <f t="shared" ref="AA22:AA35" si="8">ROUND(AVERAGE(S22:W22),1)</f>
        <v>4.9000000000000004</v>
      </c>
    </row>
    <row r="23" spans="2:27" ht="19.5" thickBot="1">
      <c r="B23" s="23" t="s">
        <v>665</v>
      </c>
      <c r="C23" s="8">
        <v>45.2</v>
      </c>
      <c r="D23" s="8">
        <v>34</v>
      </c>
      <c r="E23" s="8">
        <v>47</v>
      </c>
      <c r="F23" s="8">
        <v>44</v>
      </c>
      <c r="G23" s="8">
        <v>46</v>
      </c>
      <c r="H23" s="12">
        <v>50.2</v>
      </c>
      <c r="I23" s="21">
        <f t="shared" ca="1" si="5"/>
        <v>45.2</v>
      </c>
      <c r="L23" s="120" t="s">
        <v>164</v>
      </c>
      <c r="M23" s="11">
        <f t="shared" ref="M23:Z23" si="9">M6*100</f>
        <v>3.1</v>
      </c>
      <c r="N23" s="11">
        <f t="shared" si="9"/>
        <v>1.0999999999999999</v>
      </c>
      <c r="O23" s="11">
        <f t="shared" si="9"/>
        <v>1.0999999999999999</v>
      </c>
      <c r="P23" s="11">
        <f t="shared" si="9"/>
        <v>2.2999999999999998</v>
      </c>
      <c r="Q23" s="11">
        <f t="shared" si="9"/>
        <v>1.0999999999999999</v>
      </c>
      <c r="R23" s="11">
        <f t="shared" si="9"/>
        <v>2.5</v>
      </c>
      <c r="S23" s="11">
        <f t="shared" si="9"/>
        <v>4.2</v>
      </c>
      <c r="T23" s="11">
        <f t="shared" si="9"/>
        <v>4.2</v>
      </c>
      <c r="U23" s="11">
        <f t="shared" si="9"/>
        <v>1.7999999999999998</v>
      </c>
      <c r="V23" s="11">
        <f t="shared" si="9"/>
        <v>4.3</v>
      </c>
      <c r="W23" s="11">
        <f t="shared" si="9"/>
        <v>3.5000000000000004</v>
      </c>
      <c r="X23" s="11">
        <f t="shared" si="9"/>
        <v>1.4000000000000001</v>
      </c>
      <c r="Y23" s="11">
        <f t="shared" si="9"/>
        <v>0</v>
      </c>
      <c r="Z23" s="11">
        <f t="shared" si="9"/>
        <v>10</v>
      </c>
      <c r="AA23" s="125">
        <f t="shared" si="8"/>
        <v>3.6</v>
      </c>
    </row>
    <row r="24" spans="2:27">
      <c r="B24" s="10"/>
      <c r="L24" s="120" t="s">
        <v>165</v>
      </c>
      <c r="M24" s="11">
        <f t="shared" ref="M24:Z24" si="10">M7*100</f>
        <v>11.799999999999999</v>
      </c>
      <c r="N24" s="11">
        <f t="shared" si="10"/>
        <v>4</v>
      </c>
      <c r="O24" s="11">
        <f t="shared" si="10"/>
        <v>4</v>
      </c>
      <c r="P24" s="11">
        <f t="shared" si="10"/>
        <v>8.6999999999999993</v>
      </c>
      <c r="Q24" s="11">
        <f t="shared" si="10"/>
        <v>4</v>
      </c>
      <c r="R24" s="11">
        <f t="shared" si="10"/>
        <v>9.5</v>
      </c>
      <c r="S24" s="11">
        <f t="shared" si="10"/>
        <v>16</v>
      </c>
      <c r="T24" s="11">
        <f t="shared" si="10"/>
        <v>15.8</v>
      </c>
      <c r="U24" s="11">
        <f t="shared" si="10"/>
        <v>6.9</v>
      </c>
      <c r="V24" s="11">
        <f t="shared" si="10"/>
        <v>16.2</v>
      </c>
      <c r="W24" s="11">
        <f t="shared" si="10"/>
        <v>13.3</v>
      </c>
      <c r="X24" s="11">
        <f t="shared" si="10"/>
        <v>5.3</v>
      </c>
      <c r="Y24" s="11">
        <f t="shared" si="10"/>
        <v>0</v>
      </c>
      <c r="Z24" s="11">
        <f t="shared" si="10"/>
        <v>0</v>
      </c>
      <c r="AA24" s="125">
        <f t="shared" si="8"/>
        <v>13.6</v>
      </c>
    </row>
    <row r="25" spans="2:27">
      <c r="B25" s="10"/>
      <c r="L25" s="120" t="s">
        <v>138</v>
      </c>
      <c r="M25" s="11">
        <f t="shared" ref="M25:Z25" si="11">M8*100</f>
        <v>1.4000000000000001</v>
      </c>
      <c r="N25" s="11">
        <f t="shared" si="11"/>
        <v>0.89999999999999991</v>
      </c>
      <c r="O25" s="11">
        <f t="shared" si="11"/>
        <v>0.89999999999999991</v>
      </c>
      <c r="P25" s="11">
        <f t="shared" si="11"/>
        <v>12</v>
      </c>
      <c r="Q25" s="11">
        <f t="shared" si="11"/>
        <v>0.4</v>
      </c>
      <c r="R25" s="11">
        <f t="shared" si="11"/>
        <v>18</v>
      </c>
      <c r="S25" s="11">
        <f t="shared" si="11"/>
        <v>0.3</v>
      </c>
      <c r="T25" s="11">
        <f t="shared" si="11"/>
        <v>0.5</v>
      </c>
      <c r="U25" s="11">
        <f t="shared" si="11"/>
        <v>0.8</v>
      </c>
      <c r="V25" s="11">
        <f t="shared" si="11"/>
        <v>0.3</v>
      </c>
      <c r="W25" s="11">
        <f t="shared" si="11"/>
        <v>0.5</v>
      </c>
      <c r="X25" s="11">
        <f t="shared" si="11"/>
        <v>0.2</v>
      </c>
      <c r="Y25" s="11">
        <f t="shared" si="11"/>
        <v>0</v>
      </c>
      <c r="Z25" s="11">
        <f t="shared" si="11"/>
        <v>0</v>
      </c>
      <c r="AA25" s="125">
        <f t="shared" si="8"/>
        <v>0.5</v>
      </c>
    </row>
    <row r="26" spans="2:27">
      <c r="L26" s="120" t="s">
        <v>20</v>
      </c>
      <c r="M26" s="11">
        <f t="shared" ref="M26:Z26" si="12">M9*100</f>
        <v>20.200000000000003</v>
      </c>
      <c r="N26" s="11">
        <f t="shared" si="12"/>
        <v>20.8</v>
      </c>
      <c r="O26" s="11">
        <f t="shared" si="12"/>
        <v>20.8</v>
      </c>
      <c r="P26" s="11">
        <f t="shared" si="12"/>
        <v>12</v>
      </c>
      <c r="Q26" s="11">
        <f t="shared" si="12"/>
        <v>18.7</v>
      </c>
      <c r="R26" s="11">
        <f t="shared" si="12"/>
        <v>10.9</v>
      </c>
      <c r="S26" s="11">
        <f t="shared" si="12"/>
        <v>4.5</v>
      </c>
      <c r="T26" s="11">
        <f t="shared" si="12"/>
        <v>14.6</v>
      </c>
      <c r="U26" s="11">
        <f t="shared" si="12"/>
        <v>23.799999999999997</v>
      </c>
      <c r="V26" s="11">
        <f t="shared" si="12"/>
        <v>4.5</v>
      </c>
      <c r="W26" s="11">
        <f t="shared" si="12"/>
        <v>22.7</v>
      </c>
      <c r="X26" s="11">
        <f t="shared" si="12"/>
        <v>4.9000000000000004</v>
      </c>
      <c r="Y26" s="11">
        <f t="shared" si="12"/>
        <v>33</v>
      </c>
      <c r="Z26" s="11">
        <f t="shared" si="12"/>
        <v>1</v>
      </c>
      <c r="AA26" s="125">
        <f t="shared" si="8"/>
        <v>14</v>
      </c>
    </row>
    <row r="27" spans="2:27">
      <c r="L27" s="120" t="s">
        <v>69</v>
      </c>
      <c r="M27" s="11">
        <f t="shared" ref="M27:Z27" si="13">M10*100</f>
        <v>18.399999999999999</v>
      </c>
      <c r="N27" s="11">
        <f t="shared" si="13"/>
        <v>19.2</v>
      </c>
      <c r="O27" s="11">
        <f t="shared" si="13"/>
        <v>19.2</v>
      </c>
      <c r="P27" s="11">
        <f t="shared" si="13"/>
        <v>11</v>
      </c>
      <c r="Q27" s="11">
        <f t="shared" si="13"/>
        <v>17.299999999999997</v>
      </c>
      <c r="R27" s="11">
        <f t="shared" si="13"/>
        <v>10.100000000000001</v>
      </c>
      <c r="S27" s="11">
        <f t="shared" si="13"/>
        <v>30.599999999999998</v>
      </c>
      <c r="T27" s="11">
        <f t="shared" si="13"/>
        <v>13.4</v>
      </c>
      <c r="U27" s="11">
        <f t="shared" si="13"/>
        <v>10.8</v>
      </c>
      <c r="V27" s="11">
        <f t="shared" si="13"/>
        <v>15.5</v>
      </c>
      <c r="W27" s="11">
        <f t="shared" si="13"/>
        <v>20.7</v>
      </c>
      <c r="X27" s="11">
        <f t="shared" si="13"/>
        <v>4.5</v>
      </c>
      <c r="Y27" s="11">
        <f t="shared" si="13"/>
        <v>0</v>
      </c>
      <c r="Z27" s="11">
        <f t="shared" si="13"/>
        <v>1</v>
      </c>
      <c r="AA27" s="125">
        <f t="shared" si="8"/>
        <v>18.2</v>
      </c>
    </row>
    <row r="28" spans="2:27">
      <c r="L28" s="120" t="s">
        <v>16</v>
      </c>
      <c r="M28" s="11">
        <f t="shared" ref="M28:Z28" si="14">M11*100</f>
        <v>6.2</v>
      </c>
      <c r="N28" s="11">
        <f t="shared" si="14"/>
        <v>12.8</v>
      </c>
      <c r="O28" s="11">
        <f t="shared" si="14"/>
        <v>12.8</v>
      </c>
      <c r="P28" s="11">
        <f t="shared" si="14"/>
        <v>8.3000000000000007</v>
      </c>
      <c r="Q28" s="11">
        <f t="shared" si="14"/>
        <v>5.8000000000000007</v>
      </c>
      <c r="R28" s="11">
        <f t="shared" si="14"/>
        <v>7.0000000000000009</v>
      </c>
      <c r="S28" s="11">
        <f t="shared" si="14"/>
        <v>1.4000000000000001</v>
      </c>
      <c r="T28" s="11">
        <f t="shared" si="14"/>
        <v>6.4</v>
      </c>
      <c r="U28" s="11">
        <f t="shared" si="14"/>
        <v>14.6</v>
      </c>
      <c r="V28" s="11">
        <f t="shared" si="14"/>
        <v>1.4000000000000001</v>
      </c>
      <c r="W28" s="11">
        <f t="shared" si="14"/>
        <v>2.1999999999999997</v>
      </c>
      <c r="X28" s="11">
        <f t="shared" si="14"/>
        <v>2.1</v>
      </c>
      <c r="Y28" s="11">
        <f t="shared" si="14"/>
        <v>67</v>
      </c>
      <c r="Z28" s="11">
        <f t="shared" si="14"/>
        <v>1</v>
      </c>
      <c r="AA28" s="125">
        <f t="shared" si="8"/>
        <v>5.2</v>
      </c>
    </row>
    <row r="29" spans="2:27">
      <c r="L29" s="120" t="s">
        <v>141</v>
      </c>
      <c r="M29" s="11">
        <f t="shared" ref="M29:Z29" si="15">M12*100</f>
        <v>0.8</v>
      </c>
      <c r="N29" s="11">
        <f t="shared" si="15"/>
        <v>0.89999999999999991</v>
      </c>
      <c r="O29" s="11">
        <f t="shared" si="15"/>
        <v>0.89999999999999991</v>
      </c>
      <c r="P29" s="11">
        <f t="shared" si="15"/>
        <v>1.2</v>
      </c>
      <c r="Q29" s="11">
        <f t="shared" si="15"/>
        <v>0.4</v>
      </c>
      <c r="R29" s="11">
        <f t="shared" si="15"/>
        <v>1</v>
      </c>
      <c r="S29" s="11">
        <f t="shared" si="15"/>
        <v>0.2</v>
      </c>
      <c r="T29" s="11">
        <f t="shared" si="15"/>
        <v>0.5</v>
      </c>
      <c r="U29" s="11">
        <f t="shared" si="15"/>
        <v>0.5</v>
      </c>
      <c r="V29" s="11">
        <f t="shared" si="15"/>
        <v>0.2</v>
      </c>
      <c r="W29" s="11">
        <f t="shared" si="15"/>
        <v>0.3</v>
      </c>
      <c r="X29" s="11">
        <f t="shared" si="15"/>
        <v>0.2</v>
      </c>
      <c r="Y29" s="11">
        <f t="shared" si="15"/>
        <v>0</v>
      </c>
      <c r="Z29" s="11">
        <f t="shared" si="15"/>
        <v>0</v>
      </c>
      <c r="AA29" s="125">
        <f t="shared" si="8"/>
        <v>0.3</v>
      </c>
    </row>
    <row r="30" spans="2:27">
      <c r="L30" s="120" t="s">
        <v>142</v>
      </c>
      <c r="M30" s="11">
        <f t="shared" ref="M30:Z30" si="16">M13*100</f>
        <v>2.5</v>
      </c>
      <c r="N30" s="11">
        <f t="shared" si="16"/>
        <v>5.4</v>
      </c>
      <c r="O30" s="11">
        <f t="shared" si="16"/>
        <v>5.4</v>
      </c>
      <c r="P30" s="11">
        <f t="shared" si="16"/>
        <v>3.5000000000000004</v>
      </c>
      <c r="Q30" s="11">
        <f t="shared" si="16"/>
        <v>2.4</v>
      </c>
      <c r="R30" s="11">
        <f t="shared" si="16"/>
        <v>3</v>
      </c>
      <c r="S30" s="11">
        <f t="shared" si="16"/>
        <v>0.6</v>
      </c>
      <c r="T30" s="11">
        <f t="shared" si="16"/>
        <v>2.7</v>
      </c>
      <c r="U30" s="11">
        <f t="shared" si="16"/>
        <v>2.9000000000000004</v>
      </c>
      <c r="V30" s="11">
        <f t="shared" si="16"/>
        <v>0.6</v>
      </c>
      <c r="W30" s="11">
        <f t="shared" si="16"/>
        <v>0.89999999999999991</v>
      </c>
      <c r="X30" s="11">
        <f t="shared" si="16"/>
        <v>0.89999999999999991</v>
      </c>
      <c r="Y30" s="11">
        <f t="shared" si="16"/>
        <v>0</v>
      </c>
      <c r="Z30" s="11">
        <f t="shared" si="16"/>
        <v>0</v>
      </c>
      <c r="AA30" s="125">
        <f t="shared" si="8"/>
        <v>1.5</v>
      </c>
    </row>
    <row r="31" spans="2:27">
      <c r="L31" s="120" t="s">
        <v>25</v>
      </c>
      <c r="M31" s="11">
        <f t="shared" ref="M31:Z31" si="17">M14*100</f>
        <v>5.3</v>
      </c>
      <c r="N31" s="11">
        <f t="shared" si="17"/>
        <v>6</v>
      </c>
      <c r="O31" s="11">
        <f t="shared" si="17"/>
        <v>6</v>
      </c>
      <c r="P31" s="11">
        <f t="shared" si="17"/>
        <v>5</v>
      </c>
      <c r="Q31" s="11">
        <f t="shared" si="17"/>
        <v>9</v>
      </c>
      <c r="R31" s="11">
        <f t="shared" si="17"/>
        <v>6</v>
      </c>
      <c r="S31" s="11">
        <f t="shared" si="17"/>
        <v>1.2</v>
      </c>
      <c r="T31" s="11">
        <f t="shared" si="17"/>
        <v>12</v>
      </c>
      <c r="U31" s="11">
        <f t="shared" si="17"/>
        <v>20</v>
      </c>
      <c r="V31" s="11">
        <f t="shared" si="17"/>
        <v>15.5</v>
      </c>
      <c r="W31" s="11">
        <f t="shared" si="17"/>
        <v>1.9</v>
      </c>
      <c r="X31" s="11">
        <f t="shared" si="17"/>
        <v>70.7</v>
      </c>
      <c r="Y31" s="11">
        <f t="shared" si="17"/>
        <v>0</v>
      </c>
      <c r="Z31" s="11">
        <f t="shared" si="17"/>
        <v>0</v>
      </c>
      <c r="AA31" s="125">
        <f t="shared" si="8"/>
        <v>10.1</v>
      </c>
    </row>
    <row r="32" spans="2:27">
      <c r="L32" s="120" t="s">
        <v>158</v>
      </c>
      <c r="M32" s="8">
        <f t="shared" ref="M32:Z32" si="18">M15*100</f>
        <v>100</v>
      </c>
      <c r="N32" s="8">
        <f t="shared" si="18"/>
        <v>100</v>
      </c>
      <c r="O32" s="8">
        <f t="shared" si="18"/>
        <v>100</v>
      </c>
      <c r="P32" s="8">
        <f t="shared" si="18"/>
        <v>100</v>
      </c>
      <c r="Q32" s="8">
        <f t="shared" si="18"/>
        <v>100</v>
      </c>
      <c r="R32" s="8">
        <f t="shared" si="18"/>
        <v>100</v>
      </c>
      <c r="S32" s="8">
        <f t="shared" si="18"/>
        <v>100</v>
      </c>
      <c r="T32" s="8">
        <f t="shared" si="18"/>
        <v>100</v>
      </c>
      <c r="U32" s="8">
        <f t="shared" si="18"/>
        <v>100</v>
      </c>
      <c r="V32" s="8">
        <f t="shared" si="18"/>
        <v>100</v>
      </c>
      <c r="W32" s="8">
        <f t="shared" si="18"/>
        <v>100</v>
      </c>
      <c r="X32" s="8">
        <f t="shared" si="18"/>
        <v>100</v>
      </c>
      <c r="Y32" s="8">
        <f t="shared" si="18"/>
        <v>100</v>
      </c>
      <c r="Z32" s="8">
        <f t="shared" si="18"/>
        <v>100</v>
      </c>
      <c r="AA32" s="126">
        <f>ROUND(SUM(AA21:AA31),0)</f>
        <v>100</v>
      </c>
    </row>
    <row r="33" spans="10:27">
      <c r="L33" s="120" t="s">
        <v>658</v>
      </c>
      <c r="M33" s="8">
        <f t="shared" ref="M33:Z33" si="19">M16*100</f>
        <v>5</v>
      </c>
      <c r="N33" s="8">
        <f t="shared" si="19"/>
        <v>2.7</v>
      </c>
      <c r="O33" s="8">
        <f t="shared" si="19"/>
        <v>2.7</v>
      </c>
      <c r="P33" s="8">
        <f t="shared" si="19"/>
        <v>3</v>
      </c>
      <c r="Q33" s="8">
        <f t="shared" si="19"/>
        <v>6.7</v>
      </c>
      <c r="R33" s="8">
        <f t="shared" si="19"/>
        <v>2.9000000000000004</v>
      </c>
      <c r="S33" s="8">
        <f t="shared" si="19"/>
        <v>0.8</v>
      </c>
      <c r="T33" s="8">
        <f t="shared" si="19"/>
        <v>4.3</v>
      </c>
      <c r="U33" s="8">
        <f t="shared" si="19"/>
        <v>2.9000000000000004</v>
      </c>
      <c r="V33" s="8">
        <f t="shared" si="19"/>
        <v>0.8</v>
      </c>
      <c r="W33" s="8">
        <f t="shared" si="19"/>
        <v>1.7999999999999998</v>
      </c>
      <c r="X33" s="8">
        <f t="shared" si="19"/>
        <v>1</v>
      </c>
      <c r="Y33" s="8">
        <f t="shared" si="19"/>
        <v>0</v>
      </c>
      <c r="Z33" s="8">
        <f t="shared" si="19"/>
        <v>0</v>
      </c>
      <c r="AA33" s="126">
        <f t="shared" si="8"/>
        <v>2.1</v>
      </c>
    </row>
    <row r="34" spans="10:27">
      <c r="L34" s="120" t="s">
        <v>659</v>
      </c>
      <c r="M34" s="8">
        <f t="shared" ref="M34:Z34" si="20">M17*100</f>
        <v>13.600000000000001</v>
      </c>
      <c r="N34" s="8">
        <f t="shared" si="20"/>
        <v>10.199999999999999</v>
      </c>
      <c r="O34" s="8">
        <f t="shared" si="20"/>
        <v>10.199999999999999</v>
      </c>
      <c r="P34" s="8">
        <f t="shared" si="20"/>
        <v>14.099999999999998</v>
      </c>
      <c r="Q34" s="8">
        <f t="shared" si="20"/>
        <v>13.8</v>
      </c>
      <c r="R34" s="8">
        <f t="shared" si="20"/>
        <v>13.200000000000001</v>
      </c>
      <c r="S34" s="8">
        <f t="shared" si="20"/>
        <v>0.8</v>
      </c>
      <c r="T34" s="8">
        <f t="shared" si="20"/>
        <v>15</v>
      </c>
      <c r="U34" s="8">
        <f t="shared" si="20"/>
        <v>8</v>
      </c>
      <c r="V34" s="8">
        <f t="shared" si="20"/>
        <v>31</v>
      </c>
      <c r="W34" s="8">
        <f t="shared" si="20"/>
        <v>15.2</v>
      </c>
      <c r="X34" s="8">
        <f t="shared" si="20"/>
        <v>5</v>
      </c>
      <c r="Y34" s="8">
        <f t="shared" si="20"/>
        <v>0</v>
      </c>
      <c r="Z34" s="8">
        <f t="shared" si="20"/>
        <v>0.3</v>
      </c>
      <c r="AA34" s="126">
        <f t="shared" si="8"/>
        <v>14</v>
      </c>
    </row>
    <row r="35" spans="10:27">
      <c r="L35" s="120" t="s">
        <v>660</v>
      </c>
      <c r="M35" s="8">
        <f t="shared" ref="M35:Z35" si="21">M18*100</f>
        <v>45.2</v>
      </c>
      <c r="N35" s="8">
        <f t="shared" si="21"/>
        <v>34</v>
      </c>
      <c r="O35" s="8">
        <f t="shared" si="21"/>
        <v>34</v>
      </c>
      <c r="P35" s="8">
        <f t="shared" si="21"/>
        <v>47</v>
      </c>
      <c r="Q35" s="8">
        <f t="shared" si="21"/>
        <v>46</v>
      </c>
      <c r="R35" s="8">
        <f t="shared" si="21"/>
        <v>44</v>
      </c>
      <c r="S35" s="8">
        <f t="shared" si="21"/>
        <v>61.3</v>
      </c>
      <c r="T35" s="8">
        <f t="shared" si="21"/>
        <v>50</v>
      </c>
      <c r="U35" s="8">
        <f t="shared" si="21"/>
        <v>26.6</v>
      </c>
      <c r="V35" s="8">
        <f t="shared" si="21"/>
        <v>62.1</v>
      </c>
      <c r="W35" s="8">
        <f t="shared" si="21"/>
        <v>50.8</v>
      </c>
      <c r="X35" s="8">
        <f t="shared" si="21"/>
        <v>16.7</v>
      </c>
      <c r="Y35" s="8">
        <f t="shared" si="21"/>
        <v>0</v>
      </c>
      <c r="Z35" s="8">
        <f t="shared" si="21"/>
        <v>1</v>
      </c>
      <c r="AA35" s="126">
        <f t="shared" si="8"/>
        <v>50.2</v>
      </c>
    </row>
    <row r="40" spans="10:27" ht="18.75" customHeight="1"/>
    <row r="45" spans="10:27">
      <c r="J45" s="315"/>
      <c r="K45" s="315"/>
    </row>
    <row r="46" spans="10:27">
      <c r="J46" s="315"/>
      <c r="K46" s="315"/>
    </row>
    <row r="47" spans="10:27">
      <c r="J47" s="315"/>
      <c r="K47" s="315"/>
    </row>
    <row r="48" spans="10:27">
      <c r="J48" s="315"/>
      <c r="K48" s="315"/>
      <c r="L48" s="317"/>
      <c r="M48" s="318"/>
      <c r="N48" s="318"/>
      <c r="O48" s="318"/>
      <c r="P48" s="315"/>
      <c r="Q48" s="315"/>
      <c r="R48" s="315"/>
    </row>
    <row r="49" spans="10:18">
      <c r="J49" s="315"/>
      <c r="K49" s="315"/>
      <c r="L49" s="316"/>
      <c r="M49" s="315"/>
      <c r="N49" s="315"/>
      <c r="O49" s="315"/>
      <c r="P49" s="315"/>
      <c r="Q49" s="315"/>
      <c r="R49" s="315"/>
    </row>
    <row r="50" spans="10:18">
      <c r="J50" s="315"/>
      <c r="K50" s="315"/>
      <c r="L50" s="316"/>
      <c r="M50" s="315"/>
      <c r="N50" s="315"/>
      <c r="O50" s="315"/>
      <c r="P50" s="315"/>
      <c r="Q50" s="315"/>
      <c r="R50" s="315"/>
    </row>
    <row r="51" spans="10:18">
      <c r="J51" s="315"/>
      <c r="K51" s="315"/>
      <c r="L51" s="316"/>
      <c r="M51" s="315"/>
      <c r="N51" s="315"/>
      <c r="O51" s="315"/>
      <c r="P51" s="315"/>
      <c r="Q51" s="315"/>
      <c r="R51" s="315"/>
    </row>
    <row r="52" spans="10:18">
      <c r="J52" s="315"/>
      <c r="K52" s="315"/>
      <c r="L52" s="316"/>
      <c r="M52" s="315"/>
      <c r="N52" s="315"/>
      <c r="O52" s="315"/>
      <c r="P52" s="315"/>
      <c r="Q52" s="315"/>
      <c r="R52" s="315"/>
    </row>
    <row r="53" spans="10:18">
      <c r="J53" s="315"/>
      <c r="K53" s="315"/>
      <c r="L53" s="316"/>
      <c r="M53" s="315"/>
      <c r="N53" s="315"/>
      <c r="O53" s="315"/>
      <c r="P53" s="315"/>
      <c r="Q53" s="315"/>
      <c r="R53" s="315"/>
    </row>
    <row r="54" spans="10:18">
      <c r="J54" s="315"/>
      <c r="K54" s="315"/>
      <c r="L54" s="316"/>
      <c r="M54" s="315"/>
      <c r="N54" s="315"/>
      <c r="O54" s="315"/>
      <c r="P54" s="315"/>
      <c r="Q54" s="315"/>
      <c r="R54" s="315"/>
    </row>
    <row r="55" spans="10:18">
      <c r="J55" s="315"/>
      <c r="K55" s="315"/>
      <c r="L55" s="316"/>
      <c r="M55" s="315"/>
      <c r="N55" s="315"/>
      <c r="O55" s="315"/>
      <c r="P55" s="315"/>
      <c r="Q55" s="315"/>
      <c r="R55" s="315"/>
    </row>
    <row r="56" spans="10:18">
      <c r="J56" s="315"/>
      <c r="K56" s="315"/>
      <c r="L56" s="316"/>
      <c r="M56" s="315"/>
      <c r="N56" s="315"/>
      <c r="O56" s="315"/>
      <c r="P56" s="315"/>
      <c r="Q56" s="315"/>
      <c r="R56" s="315"/>
    </row>
    <row r="57" spans="10:18">
      <c r="J57" s="315"/>
      <c r="K57" s="315"/>
      <c r="L57" s="315"/>
      <c r="M57" s="315"/>
      <c r="N57" s="315"/>
      <c r="O57" s="315"/>
      <c r="P57" s="315"/>
      <c r="Q57" s="315"/>
      <c r="R57" s="315"/>
    </row>
    <row r="58" spans="10:18">
      <c r="J58" s="315"/>
      <c r="K58" s="315"/>
      <c r="L58" s="316"/>
      <c r="M58" s="315"/>
      <c r="N58" s="315"/>
      <c r="O58" s="315"/>
      <c r="P58" s="315"/>
      <c r="Q58" s="315"/>
      <c r="R58" s="315"/>
    </row>
    <row r="59" spans="10:18">
      <c r="J59" s="315"/>
      <c r="K59" s="315"/>
      <c r="L59" s="315"/>
      <c r="M59" s="315"/>
      <c r="N59" s="315"/>
      <c r="O59" s="315"/>
      <c r="P59" s="315"/>
      <c r="Q59" s="315"/>
      <c r="R59" s="315"/>
    </row>
    <row r="60" spans="10:18">
      <c r="J60" s="315"/>
      <c r="K60" s="315"/>
      <c r="L60" s="316"/>
      <c r="M60" s="315"/>
      <c r="N60" s="315"/>
      <c r="O60" s="315"/>
      <c r="P60" s="315"/>
      <c r="Q60" s="315"/>
      <c r="R60" s="315"/>
    </row>
    <row r="61" spans="10:18">
      <c r="J61" s="315"/>
      <c r="K61" s="315"/>
      <c r="L61" s="316"/>
      <c r="M61" s="315"/>
      <c r="N61" s="315"/>
      <c r="O61" s="315"/>
      <c r="P61" s="315"/>
      <c r="Q61" s="315"/>
      <c r="R61" s="315"/>
    </row>
    <row r="66" ht="31.5" customHeight="1"/>
  </sheetData>
  <mergeCells count="1">
    <mergeCell ref="C2:H2"/>
  </mergeCells>
  <phoneticPr fontId="4"/>
  <conditionalFormatting sqref="C2:H2">
    <cfRule type="expression" dxfId="0" priority="1">
      <formula>$B$2="②"</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ベンチマーク比較</vt:lpstr>
      <vt:lpstr>対策チェック</vt:lpstr>
      <vt:lpstr>省エネポテンシャル</vt:lpstr>
      <vt:lpstr>低炭素ベンチマーク計算</vt:lpstr>
      <vt:lpstr>メイン</vt:lpstr>
      <vt:lpstr>空調選択用</vt:lpstr>
      <vt:lpstr>選択肢パターン</vt:lpstr>
      <vt:lpstr>削減率設定</vt:lpstr>
      <vt:lpstr>エネルギーシェア</vt:lpstr>
      <vt:lpstr>エネルギー単価</vt:lpstr>
      <vt:lpstr>ベンチマーク比較!Print_Area</vt:lpstr>
      <vt:lpstr>メイン!Print_Area</vt:lpstr>
      <vt:lpstr>削減率設定!Print_Area</vt:lpstr>
      <vt:lpstr>省エネポテンシャル!Print_Area</vt:lpstr>
      <vt:lpstr>対策チェック!Print_Area</vt:lpstr>
      <vt:lpstr>メイン!Print_Titles</vt:lpstr>
      <vt:lpstr>削減率設定!Print_Titles</vt:lpstr>
      <vt:lpstr>対策チェック!Print_Titles</vt:lpstr>
      <vt:lpstr>用途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2018-03-06T04:22:48Z</cp:lastPrinted>
  <dcterms:created xsi:type="dcterms:W3CDTF">2017-08-28T23:06:28Z</dcterms:created>
  <dcterms:modified xsi:type="dcterms:W3CDTF">2018-03-12T04:06:06Z</dcterms:modified>
</cp:coreProperties>
</file>