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updateLinks="never" codeName="ThisWorkbook" defaultThemeVersion="124226"/>
  <workbookProtection workbookPassword="8037" lockStructure="1"/>
  <bookViews>
    <workbookView xWindow="0" yWindow="0" windowWidth="15390" windowHeight="7260" tabRatio="790" activeTab="1"/>
  </bookViews>
  <sheets>
    <sheet name="1_結果 " sheetId="64" r:id="rId1"/>
    <sheet name="2_入力" sheetId="63" r:id="rId2"/>
    <sheet name="2_メイン" sheetId="54" state="hidden" r:id="rId3"/>
    <sheet name="3_床面積" sheetId="56" state="hidden" r:id="rId4"/>
    <sheet name="リンク元画像" sheetId="58" state="hidden" r:id="rId5"/>
    <sheet name="算定書" sheetId="59" state="hidden" r:id="rId6"/>
    <sheet name="削減量集計" sheetId="53" state="hidden" r:id="rId7"/>
  </sheets>
  <externalReferences>
    <externalReference r:id="rId8"/>
    <externalReference r:id="rId9"/>
  </externalReferences>
  <definedNames>
    <definedName name="_10空調導入範囲">INDIRECT('2_入力'!$AA$22)</definedName>
    <definedName name="_10照明制御">INDIRECT('2_入力'!$X$22)</definedName>
    <definedName name="_10照明導入範囲">INDIRECT('2_入力'!$AD$22)</definedName>
    <definedName name="_10星の数空調">INDIRECT('2_入力'!$T$22)</definedName>
    <definedName name="_10星の数照明">INDIRECT('2_入力'!$V$22)</definedName>
    <definedName name="_11空調導入範囲">INDIRECT('2_入力'!$AA$23)</definedName>
    <definedName name="_11照明制御">INDIRECT('2_入力'!$X$23)</definedName>
    <definedName name="_11照明導入範囲">INDIRECT('2_入力'!$AD$23)</definedName>
    <definedName name="_11星の数空調">INDIRECT('2_入力'!$T$23)</definedName>
    <definedName name="_11星の数照明">INDIRECT('2_入力'!$V$23)</definedName>
    <definedName name="_12空調導入範囲">INDIRECT('2_入力'!$AA$24)</definedName>
    <definedName name="_12照明制御">INDIRECT('2_入力'!$X$24)</definedName>
    <definedName name="_12照明導入範囲">INDIRECT('2_入力'!$AD$24)</definedName>
    <definedName name="_12星の数空調">INDIRECT('2_入力'!$T$24)</definedName>
    <definedName name="_12星の数照明">INDIRECT('2_入力'!$V$24)</definedName>
    <definedName name="_13空調導入範囲">INDIRECT('2_入力'!$AA$25)</definedName>
    <definedName name="_13照明制御">INDIRECT('2_入力'!$X$25)</definedName>
    <definedName name="_13照明導入範囲">INDIRECT('2_入力'!$AD$25)</definedName>
    <definedName name="_13星の数空調">INDIRECT('2_入力'!$T$25)</definedName>
    <definedName name="_13星の数照明">INDIRECT('2_入力'!$V$25)</definedName>
    <definedName name="_14空調導入範囲">INDIRECT('2_入力'!$AA$26)</definedName>
    <definedName name="_14照明制御">INDIRECT('2_入力'!$X$26)</definedName>
    <definedName name="_14照明導入範囲">INDIRECT('2_入力'!$AD$26)</definedName>
    <definedName name="_14星の数空調">INDIRECT('2_入力'!$T$26)</definedName>
    <definedName name="_14星の数照明">INDIRECT('2_入力'!$V$26)</definedName>
    <definedName name="_15空調導入範囲">INDIRECT('2_入力'!$AA$27)</definedName>
    <definedName name="_15照明制御">INDIRECT('2_入力'!$X$27)</definedName>
    <definedName name="_15照明導入範囲">INDIRECT('2_入力'!$AD$27)</definedName>
    <definedName name="_15星の数空調">INDIRECT('2_入力'!$T$27)</definedName>
    <definedName name="_15星の数照明">INDIRECT('2_入力'!$V$27)</definedName>
    <definedName name="_16空調導入範囲">INDIRECT('2_入力'!$AA$28)</definedName>
    <definedName name="_16照明制御">INDIRECT('2_入力'!$X$28)</definedName>
    <definedName name="_16照明導入範囲">INDIRECT('2_入力'!$AD$28)</definedName>
    <definedName name="_16星の数空調">INDIRECT('2_入力'!$T$28)</definedName>
    <definedName name="_16星の数照明">INDIRECT('2_入力'!$V$28)</definedName>
    <definedName name="_17空調導入範囲">INDIRECT('2_入力'!$AA$29)</definedName>
    <definedName name="_17照明制御">INDIRECT('2_入力'!$X$29)</definedName>
    <definedName name="_17照明導入範囲">INDIRECT('2_入力'!$AD$29)</definedName>
    <definedName name="_17星の数空調">INDIRECT('2_入力'!$T$29)</definedName>
    <definedName name="_17星の数照明">INDIRECT('2_入力'!$V$29)</definedName>
    <definedName name="_18空調導入範囲">INDIRECT('2_入力'!$AA$30)</definedName>
    <definedName name="_18照明制御">INDIRECT('2_入力'!$X$30)</definedName>
    <definedName name="_18照明導入範囲">INDIRECT('2_入力'!$AD$30)</definedName>
    <definedName name="_18星の数空調">INDIRECT('2_入力'!$T$30)</definedName>
    <definedName name="_18星の数照明">INDIRECT('2_入力'!$V$30)</definedName>
    <definedName name="_19空調導入範囲">INDIRECT('2_入力'!$AA$31)</definedName>
    <definedName name="_19照明制御">INDIRECT('2_入力'!$X$31)</definedName>
    <definedName name="_19照明導入範囲">INDIRECT('2_入力'!$AD$31)</definedName>
    <definedName name="_19星の数空調">INDIRECT('2_入力'!$T$31)</definedName>
    <definedName name="_19星の数照明">INDIRECT('2_入力'!$V$31)</definedName>
    <definedName name="_1空調導入範囲">INDIRECT('2_入力'!$AA$13)</definedName>
    <definedName name="_1照明制御">INDIRECT('2_入力'!$X$13)</definedName>
    <definedName name="_1照明導入範囲">INDIRECT('2_入力'!$AD$13)</definedName>
    <definedName name="_1星の数空調">INDIRECT('2_入力'!$T$13)</definedName>
    <definedName name="_1星の数照明">INDIRECT('2_入力'!$V$13)</definedName>
    <definedName name="_20空調導入範囲">INDIRECT('2_入力'!$AA$32)</definedName>
    <definedName name="_20照明制御">INDIRECT('2_入力'!$X$32)</definedName>
    <definedName name="_20照明導入範囲">INDIRECT('2_入力'!$AD$32)</definedName>
    <definedName name="_20星の数空調">INDIRECT('2_入力'!$T$32)</definedName>
    <definedName name="_20星の数照明">INDIRECT('2_入力'!$V$32)</definedName>
    <definedName name="_2空調導入範囲">INDIRECT('2_入力'!$AA$14)</definedName>
    <definedName name="_2照明制御">INDIRECT('2_入力'!$X$14)</definedName>
    <definedName name="_2照明導入範囲">INDIRECT('2_入力'!$AD$14)</definedName>
    <definedName name="_2星の数空調">INDIRECT('2_入力'!$T$14)</definedName>
    <definedName name="_2星の数照明">INDIRECT('2_入力'!$V$14)</definedName>
    <definedName name="_3空調導入範囲">INDIRECT('2_入力'!$AA$15)</definedName>
    <definedName name="_3照明制御">INDIRECT('2_入力'!$X$15)</definedName>
    <definedName name="_3照明導入範囲">INDIRECT('2_入力'!$AD$15)</definedName>
    <definedName name="_3星の数空調">INDIRECT('2_入力'!$T$15)</definedName>
    <definedName name="_3星の数照明">INDIRECT('2_入力'!$V$15)</definedName>
    <definedName name="_4空調導入範囲">INDIRECT('2_入力'!$AA$16)</definedName>
    <definedName name="_4照明制御">INDIRECT('2_入力'!$X$16)</definedName>
    <definedName name="_4照明導入範囲">INDIRECT('2_入力'!$AD$16)</definedName>
    <definedName name="_4星の数空調">INDIRECT('2_入力'!$T$16)</definedName>
    <definedName name="_4星の数照明">INDIRECT('2_入力'!$V$16)</definedName>
    <definedName name="_5空調導入範囲">INDIRECT('2_入力'!$AA$17)</definedName>
    <definedName name="_5照明制御">INDIRECT('2_入力'!$X$17)</definedName>
    <definedName name="_5照明導入範囲">INDIRECT('2_入力'!$AD$17)</definedName>
    <definedName name="_5星の数空調">INDIRECT('2_入力'!$T$17)</definedName>
    <definedName name="_5星の数照明">INDIRECT('2_入力'!$V$17)</definedName>
    <definedName name="_6空調導入範囲">INDIRECT('2_入力'!$AA$18)</definedName>
    <definedName name="_6照明制御">INDIRECT('2_入力'!$X$18)</definedName>
    <definedName name="_6照明導入範囲">INDIRECT('2_入力'!$AD$18)</definedName>
    <definedName name="_6星の数空調">INDIRECT('2_入力'!$T$18)</definedName>
    <definedName name="_6星の数照明">INDIRECT('2_入力'!$V$18)</definedName>
    <definedName name="_7空調導入範囲">INDIRECT('2_入力'!$AA$19)</definedName>
    <definedName name="_7照明制御">INDIRECT('2_入力'!$X$19)</definedName>
    <definedName name="_7照明導入範囲">INDIRECT('2_入力'!$AD$19)</definedName>
    <definedName name="_7星の数空調">INDIRECT('2_入力'!$T$19)</definedName>
    <definedName name="_7星の数照明">INDIRECT('2_入力'!$V$19)</definedName>
    <definedName name="_8空調導入範囲">INDIRECT('2_入力'!$AA$20)</definedName>
    <definedName name="_8照明制御">INDIRECT('2_入力'!$X$20)</definedName>
    <definedName name="_8照明導入範囲">INDIRECT('2_入力'!$AD$20)</definedName>
    <definedName name="_8星の数空調">INDIRECT('2_入力'!$T$20)</definedName>
    <definedName name="_8星の数照明">INDIRECT('2_入力'!$V$20)</definedName>
    <definedName name="_9空調導入範囲">INDIRECT('2_入力'!$AA$21)</definedName>
    <definedName name="_9照明制御">INDIRECT('2_入力'!$X$21)</definedName>
    <definedName name="_9照明導入範囲">INDIRECT('2_入力'!$AD$21)</definedName>
    <definedName name="_9星の数空調">INDIRECT('2_入力'!$T$21)</definedName>
    <definedName name="_9星の数照明">INDIRECT('2_入力'!$V$21)</definedName>
    <definedName name="★">リンク元画像!$D$6</definedName>
    <definedName name="★★">リンク元画像!$C$6</definedName>
    <definedName name="★★★">リンク元画像!$B$6</definedName>
    <definedName name="★その他">'2_入力'!$AM$3:$AM$14</definedName>
    <definedName name="★飲食店">'2_入力'!$AL$3:$AL$9</definedName>
    <definedName name="★非表示">リンク元画像!$E$6</definedName>
    <definedName name="★物販店">'2_入力'!$AK$3:$AK$9</definedName>
    <definedName name="BELS★">リンク元画像!$F$21</definedName>
    <definedName name="BELS★★">リンク元画像!$E$21</definedName>
    <definedName name="BELS★★★">リンク元画像!$D$21</definedName>
    <definedName name="BELS★★★★">リンク元画像!$C$21</definedName>
    <definedName name="BELS★★★★★">リンク元画像!$B$21</definedName>
    <definedName name="BELS認定">リンク元画像!$B$21</definedName>
    <definedName name="CASBEE星非表示">リンク元画像!$G$23</definedName>
    <definedName name="CASBEE非表示">リンク元画像!$F$25</definedName>
    <definedName name="LED_ランプ交換">#REF!</definedName>
    <definedName name="LED_器具更新">#REF!</definedName>
    <definedName name="_xlnm.Print_Area" localSheetId="0">'1_結果 '!$A$1:$S$213</definedName>
    <definedName name="_xlnm.Print_Area" localSheetId="2">'2_メイン'!$A$9:$U$64</definedName>
    <definedName name="_xlnm.Print_Area" localSheetId="1">'2_入力'!$C$7:$P$32</definedName>
    <definedName name="_xlnm.Print_Area" localSheetId="3">'3_床面積'!$B$7:$H$65</definedName>
    <definedName name="_xlnm.Print_Area" localSheetId="4">リンク元画像!$B$1:$K$27</definedName>
    <definedName name="_xlnm.Print_Area" localSheetId="6">削減量集計!$A$1:$AD$23</definedName>
    <definedName name="_xlnm.Print_Area" localSheetId="5">算定書!$B$9:$V$97</definedName>
    <definedName name="ア">#REF!</definedName>
    <definedName name="あ">#REF!</definedName>
    <definedName name="あああ" localSheetId="0">#REF!</definedName>
    <definedName name="あああ">#REF!</definedName>
    <definedName name="あいこ" localSheetId="0">#REF!</definedName>
    <definedName name="あいこ">#REF!</definedName>
    <definedName name="イ">#REF!</definedName>
    <definedName name="い">#REF!</definedName>
    <definedName name="ウ">#REF!</definedName>
    <definedName name="う">#REF!</definedName>
    <definedName name="エ">#REF!</definedName>
    <definedName name="え">#REF!</definedName>
    <definedName name="エレベーターの省エネ制御の導入">リンク元画像!$G$15</definedName>
    <definedName name="オ">#REF!</definedName>
    <definedName name="お">#REF!</definedName>
    <definedName name="おおおお" localSheetId="0">#REF!</definedName>
    <definedName name="おおおお">#REF!</definedName>
    <definedName name="オフィス" localSheetId="3">'3_床面積'!$T$12:$T$13</definedName>
    <definedName name="オフィス" localSheetId="6">削減量集計!#REF!</definedName>
    <definedName name="オフィス" localSheetId="5">算定書!$AA$34:$AA$35</definedName>
    <definedName name="カ">#REF!</definedName>
    <definedName name="か">#REF!</definedName>
    <definedName name="キ">#REF!</definedName>
    <definedName name="き">#REF!</definedName>
    <definedName name="ク">#REF!</definedName>
    <definedName name="く">#REF!</definedName>
    <definedName name="ケ">#REF!</definedName>
    <definedName name="け">#REF!</definedName>
    <definedName name="コ">#REF!</definedName>
    <definedName name="こ">#REF!</definedName>
    <definedName name="サ">#REF!</definedName>
    <definedName name="さ">#REF!</definedName>
    <definedName name="シ">#REF!</definedName>
    <definedName name="し">#REF!</definedName>
    <definedName name="ス">#REF!</definedName>
    <definedName name="す">#REF!</definedName>
    <definedName name="セ">#REF!</definedName>
    <definedName name="せ">#REF!</definedName>
    <definedName name="ソ">#REF!</definedName>
    <definedName name="そ">#REF!</definedName>
    <definedName name="その他" localSheetId="0">#REF!</definedName>
    <definedName name="その他" localSheetId="3">'3_床面積'!$Z$12:$Z$23</definedName>
    <definedName name="その他">#REF!</definedName>
    <definedName name="タ">#REF!</definedName>
    <definedName name="た">#REF!</definedName>
    <definedName name="テナント">リンク元画像!$C$4</definedName>
    <definedName name="ポンプ・ファンの節電">リンク元画像!$G$18</definedName>
    <definedName name="ラベリング1">INDIRECT('2_メイン'!$BF$5)</definedName>
    <definedName name="ラベリング2">INDIRECT('2_メイン'!$BG$5)</definedName>
    <definedName name="ラベリング3">INDIRECT('2_メイン'!$BH$5)</definedName>
    <definedName name="ラベリング4">INDIRECT('2_メイン'!$BI$5)</definedName>
    <definedName name="ラベリング非表示">リンク元画像!$G$21</definedName>
    <definedName name="ランクA_★★★★">リンク元画像!$C$23</definedName>
    <definedName name="ランクB__★★">リンク元画像!$E$23</definedName>
    <definedName name="ランクB__★★★">リンク元画像!$D$23</definedName>
    <definedName name="ランクC_★">リンク元画像!$F$23</definedName>
    <definedName name="ランクS_★★★★★">リンク元画像!$B$23</definedName>
    <definedName name="飲食店" localSheetId="3">'3_床面積'!$X$12:$X$18</definedName>
    <definedName name="飲食店" localSheetId="6">削減量集計!#REF!</definedName>
    <definedName name="飲食店" localSheetId="5">算定書!$AD$34:$AD$40</definedName>
    <definedName name="改修">リンク元画像!$C$25</definedName>
    <definedName name="改修後ベンチマーク評価">INDIRECT([1]ベンチマーク評価!$C$4)</definedName>
    <definedName name="改修項目1">INDIRECT('2_メイン'!$AB$5)</definedName>
    <definedName name="改修項目2">INDIRECT('2_メイン'!$AC$5)</definedName>
    <definedName name="改修項目3">INDIRECT('2_メイン'!$AD$5)</definedName>
    <definedName name="改修項目4">INDIRECT('2_メイン'!$AE$5)</definedName>
    <definedName name="改修項目非表示">リンク元画像!$O$15</definedName>
    <definedName name="改修前ベンチマーク評価">INDIRECT([1]ベンチマーク評価!$B$4)</definedName>
    <definedName name="該当なし">'3_床面積'!$AF$12:$AF$16</definedName>
    <definedName name="割合0">リンク元画像!$L$9</definedName>
    <definedName name="割合10">リンク元画像!$B$9</definedName>
    <definedName name="割合100">リンク元画像!$K$9</definedName>
    <definedName name="割合20">リンク元画像!$C$9</definedName>
    <definedName name="割合30">リンク元画像!$D$9</definedName>
    <definedName name="割合40">リンク元画像!$E$9</definedName>
    <definedName name="割合50">リンク元画像!$F$9</definedName>
    <definedName name="割合60">リンク元画像!$G$9</definedName>
    <definedName name="割合70">リンク元画像!$H$9</definedName>
    <definedName name="割合80">リンク元画像!$I$9</definedName>
    <definedName name="割合90">リンク元画像!$J$9</definedName>
    <definedName name="既存">リンク元画像!$D$25</definedName>
    <definedName name="給湯設備の節電">リンク元画像!$F$18</definedName>
    <definedName name="共用部の節電">リンク元画像!$E$18</definedName>
    <definedName name="空調の省エネ制御の導入">リンク元画像!$M$15</definedName>
    <definedName name="空調の適正温度管理">リンク元画像!$D$18</definedName>
    <definedName name="空調割合">INDIRECT('2_メイン'!$AL$5)</definedName>
    <definedName name="空調用ポンプの省エネ制御の導入">リンク元画像!$K$15</definedName>
    <definedName name="建物全体">リンク元画像!$B$4</definedName>
    <definedName name="高輝度型誘導灯の導入">リンク元画像!$E$15</definedName>
    <definedName name="高効率パッケージ形空調機の導入">リンク元画像!$B$15</definedName>
    <definedName name="高効率空調機の導入">リンク元画像!$L$15</definedName>
    <definedName name="高効率空調用ポンプの導入">リンク元画像!$J$15</definedName>
    <definedName name="高効率照明器具の導入">リンク元画像!$C$15</definedName>
    <definedName name="高効率熱源機器の導入">リンク元画像!$H$15</definedName>
    <definedName name="高効率変圧器の導入">リンク元画像!$F$15</definedName>
    <definedName name="高効率冷却塔の導入">リンク元画像!$I$15</definedName>
    <definedName name="削減効果非表示">リンク元画像!$D$13</definedName>
    <definedName name="削減効果表示1" localSheetId="0">INDIRECT('2_メイン'!$AF$4)</definedName>
    <definedName name="削減効果表示2">INDIRECT('2_メイン'!$AF$5)</definedName>
    <definedName name="事務機器の節電">リンク元画像!$H$18</definedName>
    <definedName name="照度の管理">リンク元画像!$C$18</definedName>
    <definedName name="照明のこまめな消灯">リンク元画像!$B$18</definedName>
    <definedName name="照明の省エネ制御の導入">リンク元画像!$N$15</definedName>
    <definedName name="照明割合">INDIRECT('2_メイン'!$AL$6)</definedName>
    <definedName name="照明制御">INDIRECT('2_メイン'!$AK$6)</definedName>
    <definedName name="新築">リンク元画像!$B$25</definedName>
    <definedName name="制御あり">リンク元画像!$B$11</definedName>
    <definedName name="制御なし">リンク元画像!$C$11</definedName>
    <definedName name="星の数空調">INDIRECT('2_メイン'!$AI$5)</definedName>
    <definedName name="星の数照明">INDIRECT('2_メイン'!$AI$6)</definedName>
    <definedName name="全熱交換器の導入">リンク元画像!$D$15</definedName>
    <definedName name="大分類" localSheetId="0">#REF!</definedName>
    <definedName name="大分類" localSheetId="3">'3_床面積'!$T$11:$Z$11</definedName>
    <definedName name="大分類">#REF!</definedName>
    <definedName name="直管形蛍光ﾗﾝﾌﾟHf_高出力型_FHF_FHC">#REF!</definedName>
    <definedName name="電力">リンク元画像!$B$13</definedName>
    <definedName name="都市ガス">リンク元画像!$C$13</definedName>
    <definedName name="認定">リンク元画像!$B$27</definedName>
    <definedName name="不動産">リンク元画像!$E$25</definedName>
    <definedName name="物販店" localSheetId="3">'3_床面積'!$V$12:$V$18</definedName>
    <definedName name="物販店" localSheetId="6">削減量集計!#REF!</definedName>
    <definedName name="物販店" localSheetId="5">算定書!$AC$34:$AC$40</definedName>
  </definedNames>
  <calcPr calcId="145621"/>
</workbook>
</file>

<file path=xl/calcChain.xml><?xml version="1.0" encoding="utf-8"?>
<calcChain xmlns="http://schemas.openxmlformats.org/spreadsheetml/2006/main">
  <c r="B204" i="64" l="1"/>
  <c r="B203" i="64"/>
  <c r="B202" i="64"/>
  <c r="B201" i="64"/>
  <c r="B197" i="64"/>
  <c r="B196" i="64"/>
  <c r="B195" i="64"/>
  <c r="B194" i="64"/>
  <c r="B190" i="64"/>
  <c r="B189" i="64"/>
  <c r="B188" i="64"/>
  <c r="B187" i="64"/>
  <c r="B183" i="64"/>
  <c r="B181" i="64"/>
  <c r="B179" i="64"/>
  <c r="B177" i="64"/>
  <c r="B162" i="64"/>
  <c r="B161" i="64"/>
  <c r="B160" i="64"/>
  <c r="B159" i="64"/>
  <c r="B155" i="64"/>
  <c r="B154" i="64"/>
  <c r="B153" i="64"/>
  <c r="B152" i="64"/>
  <c r="B148" i="64"/>
  <c r="B147" i="64"/>
  <c r="B146" i="64"/>
  <c r="B145" i="64"/>
  <c r="B141" i="64"/>
  <c r="B139" i="64"/>
  <c r="B137" i="64"/>
  <c r="B135" i="64"/>
  <c r="S184" i="64"/>
  <c r="B120" i="64"/>
  <c r="B119" i="64"/>
  <c r="B118" i="64"/>
  <c r="B117" i="64"/>
  <c r="B70" i="64"/>
  <c r="B113" i="64"/>
  <c r="B112" i="64"/>
  <c r="B111" i="64"/>
  <c r="B110" i="64"/>
  <c r="B106" i="64"/>
  <c r="B105" i="64"/>
  <c r="B104" i="64"/>
  <c r="B103" i="64"/>
  <c r="B99" i="64"/>
  <c r="B97" i="64"/>
  <c r="B95" i="64"/>
  <c r="B93" i="64"/>
  <c r="B78" i="64"/>
  <c r="B77" i="64"/>
  <c r="B76" i="64"/>
  <c r="B75" i="64"/>
  <c r="B71" i="64"/>
  <c r="B69" i="64"/>
  <c r="B68" i="64"/>
  <c r="B64" i="64"/>
  <c r="B63" i="64"/>
  <c r="B62" i="64"/>
  <c r="B61" i="64"/>
  <c r="B57" i="64"/>
  <c r="B55" i="64"/>
  <c r="B53" i="64"/>
  <c r="B51" i="64"/>
  <c r="B35" i="64" l="1"/>
  <c r="B34" i="64"/>
  <c r="B33" i="64"/>
  <c r="B32" i="64"/>
  <c r="B28" i="64"/>
  <c r="B27" i="64"/>
  <c r="B26" i="64"/>
  <c r="B25" i="64"/>
  <c r="B18" i="64"/>
  <c r="B19" i="64"/>
  <c r="B20" i="64"/>
  <c r="B21" i="64"/>
  <c r="C4" i="64"/>
  <c r="T13" i="63"/>
  <c r="X15" i="63"/>
  <c r="X14" i="63"/>
  <c r="X16" i="63"/>
  <c r="X17" i="63"/>
  <c r="X18" i="63"/>
  <c r="X19" i="63"/>
  <c r="X20" i="63"/>
  <c r="X21" i="63"/>
  <c r="X22" i="63"/>
  <c r="X23" i="63"/>
  <c r="X24" i="63"/>
  <c r="X25" i="63"/>
  <c r="X26" i="63"/>
  <c r="X27" i="63"/>
  <c r="X28" i="63"/>
  <c r="X29" i="63"/>
  <c r="X30" i="63"/>
  <c r="X31" i="63"/>
  <c r="X32" i="63"/>
  <c r="X13" i="63"/>
  <c r="B14" i="64" l="1"/>
  <c r="B12" i="64"/>
  <c r="B10" i="64"/>
  <c r="B8" i="64"/>
  <c r="AG14" i="63"/>
  <c r="AG15" i="63"/>
  <c r="AG16" i="63"/>
  <c r="AG17" i="63"/>
  <c r="AG18" i="63"/>
  <c r="AG19" i="63"/>
  <c r="AG20" i="63"/>
  <c r="AG21" i="63"/>
  <c r="AG22" i="63"/>
  <c r="AG23" i="63"/>
  <c r="AG24" i="63"/>
  <c r="AG25" i="63"/>
  <c r="AG26" i="63"/>
  <c r="AG27" i="63"/>
  <c r="AG28" i="63"/>
  <c r="AG29" i="63"/>
  <c r="AG30" i="63"/>
  <c r="AG31" i="63"/>
  <c r="AG32" i="63"/>
  <c r="AG13" i="63"/>
  <c r="AC14" i="63"/>
  <c r="AC15" i="63"/>
  <c r="AC16" i="63"/>
  <c r="AC17" i="63"/>
  <c r="AC18" i="63"/>
  <c r="AC19" i="63"/>
  <c r="AC20" i="63"/>
  <c r="AC21" i="63"/>
  <c r="AC22" i="63"/>
  <c r="AC23" i="63"/>
  <c r="AC24" i="63"/>
  <c r="AC25" i="63"/>
  <c r="AC26" i="63"/>
  <c r="AC27" i="63"/>
  <c r="AC28" i="63"/>
  <c r="AC29" i="63"/>
  <c r="AD29" i="63" s="1"/>
  <c r="AC30" i="63"/>
  <c r="AC31" i="63"/>
  <c r="AC32" i="63"/>
  <c r="AC13" i="63"/>
  <c r="Z14" i="63"/>
  <c r="Z15" i="63"/>
  <c r="Z16" i="63"/>
  <c r="Z17" i="63"/>
  <c r="Z18" i="63"/>
  <c r="Z19" i="63"/>
  <c r="Z20" i="63"/>
  <c r="Z21" i="63"/>
  <c r="Z22" i="63"/>
  <c r="Z23" i="63"/>
  <c r="Z24" i="63"/>
  <c r="Z25" i="63"/>
  <c r="Z26" i="63"/>
  <c r="Z27" i="63"/>
  <c r="Z28" i="63"/>
  <c r="Z29" i="63"/>
  <c r="Z30" i="63"/>
  <c r="Z31" i="63"/>
  <c r="Z32" i="63"/>
  <c r="Z13" i="63"/>
  <c r="AA13" i="63" s="1"/>
  <c r="V14" i="63"/>
  <c r="AF14" i="63" s="1"/>
  <c r="V15" i="63"/>
  <c r="AF15" i="63" s="1"/>
  <c r="Q28" i="64" s="1"/>
  <c r="V16" i="63"/>
  <c r="AF16" i="63" s="1"/>
  <c r="V17" i="63"/>
  <c r="AF17" i="63" s="1"/>
  <c r="Q57" i="64" s="1"/>
  <c r="V18" i="63"/>
  <c r="AF18" i="63" s="1"/>
  <c r="Q64" i="64" s="1"/>
  <c r="V19" i="63"/>
  <c r="AF19" i="63" s="1"/>
  <c r="Q71" i="64" s="1"/>
  <c r="V20" i="63"/>
  <c r="AF20" i="63" s="1"/>
  <c r="Q78" i="64" s="1"/>
  <c r="V21" i="63"/>
  <c r="AF21" i="63" s="1"/>
  <c r="Q99" i="64" s="1"/>
  <c r="V22" i="63"/>
  <c r="AF22" i="63" s="1"/>
  <c r="Q106" i="64" s="1"/>
  <c r="V23" i="63"/>
  <c r="AF23" i="63" s="1"/>
  <c r="Q113" i="64" s="1"/>
  <c r="V24" i="63"/>
  <c r="AF24" i="63" s="1"/>
  <c r="Q120" i="64" s="1"/>
  <c r="V25" i="63"/>
  <c r="AF25" i="63" s="1"/>
  <c r="Q141" i="64" s="1"/>
  <c r="V26" i="63"/>
  <c r="AF26" i="63" s="1"/>
  <c r="Q148" i="64" s="1"/>
  <c r="V27" i="63"/>
  <c r="AF27" i="63" s="1"/>
  <c r="Q155" i="64" s="1"/>
  <c r="V28" i="63"/>
  <c r="AF28" i="63" s="1"/>
  <c r="Q162" i="64" s="1"/>
  <c r="V29" i="63"/>
  <c r="AF29" i="63" s="1"/>
  <c r="Q183" i="64" s="1"/>
  <c r="V30" i="63"/>
  <c r="AF30" i="63" s="1"/>
  <c r="Q190" i="64" s="1"/>
  <c r="V31" i="63"/>
  <c r="AF31" i="63" s="1"/>
  <c r="Q197" i="64" s="1"/>
  <c r="V32" i="63"/>
  <c r="AF32" i="63" s="1"/>
  <c r="Q204" i="64" s="1"/>
  <c r="V13" i="63"/>
  <c r="T14" i="63"/>
  <c r="AE14" i="63" s="1"/>
  <c r="L21" i="64" s="1"/>
  <c r="T15" i="63"/>
  <c r="AE15" i="63" s="1"/>
  <c r="L28" i="64" s="1"/>
  <c r="T16" i="63"/>
  <c r="AE16" i="63" s="1"/>
  <c r="L35" i="64" s="1"/>
  <c r="T17" i="63"/>
  <c r="AE17" i="63" s="1"/>
  <c r="L57" i="64" s="1"/>
  <c r="T18" i="63"/>
  <c r="AE18" i="63" s="1"/>
  <c r="L64" i="64" s="1"/>
  <c r="T19" i="63"/>
  <c r="AE19" i="63" s="1"/>
  <c r="L71" i="64" s="1"/>
  <c r="T20" i="63"/>
  <c r="AE20" i="63" s="1"/>
  <c r="L78" i="64" s="1"/>
  <c r="T21" i="63"/>
  <c r="AE21" i="63" s="1"/>
  <c r="L99" i="64" s="1"/>
  <c r="T22" i="63"/>
  <c r="AE22" i="63" s="1"/>
  <c r="L106" i="64" s="1"/>
  <c r="T23" i="63"/>
  <c r="AE23" i="63" s="1"/>
  <c r="L113" i="64" s="1"/>
  <c r="T24" i="63"/>
  <c r="AE24" i="63" s="1"/>
  <c r="L120" i="64" s="1"/>
  <c r="T25" i="63"/>
  <c r="AE25" i="63" s="1"/>
  <c r="L141" i="64" s="1"/>
  <c r="T26" i="63"/>
  <c r="AE26" i="63" s="1"/>
  <c r="L148" i="64" s="1"/>
  <c r="T27" i="63"/>
  <c r="AE27" i="63" s="1"/>
  <c r="L155" i="64" s="1"/>
  <c r="T28" i="63"/>
  <c r="AE28" i="63" s="1"/>
  <c r="L162" i="64" s="1"/>
  <c r="T29" i="63"/>
  <c r="AE29" i="63" s="1"/>
  <c r="L183" i="64" s="1"/>
  <c r="T30" i="63"/>
  <c r="AE30" i="63" s="1"/>
  <c r="L190" i="64" s="1"/>
  <c r="T31" i="63"/>
  <c r="AE31" i="63" s="1"/>
  <c r="L197" i="64" s="1"/>
  <c r="T32" i="63"/>
  <c r="AE32" i="63" s="1"/>
  <c r="L204" i="64" s="1"/>
  <c r="AE13" i="63"/>
  <c r="L14" i="64" s="1"/>
  <c r="R14" i="63"/>
  <c r="R15" i="63"/>
  <c r="R16" i="63"/>
  <c r="R17" i="63"/>
  <c r="R18" i="63"/>
  <c r="R19" i="63"/>
  <c r="R20" i="63"/>
  <c r="R21" i="63"/>
  <c r="R22" i="63"/>
  <c r="R23" i="63"/>
  <c r="R24" i="63"/>
  <c r="R25" i="63"/>
  <c r="R26" i="63"/>
  <c r="R27" i="63"/>
  <c r="R28" i="63"/>
  <c r="R29" i="63"/>
  <c r="R30" i="63"/>
  <c r="R31" i="63"/>
  <c r="R32" i="63"/>
  <c r="R13" i="63"/>
  <c r="AA29" i="63" l="1"/>
  <c r="O184" i="64"/>
  <c r="AA25" i="63"/>
  <c r="O142" i="64"/>
  <c r="AA21" i="63"/>
  <c r="O100" i="64"/>
  <c r="AD25" i="63"/>
  <c r="S142" i="64"/>
  <c r="AD21" i="63"/>
  <c r="S100" i="64"/>
  <c r="AA32" i="63"/>
  <c r="O205" i="64"/>
  <c r="AA28" i="63"/>
  <c r="O163" i="64"/>
  <c r="AA24" i="63"/>
  <c r="O121" i="64"/>
  <c r="AD32" i="63"/>
  <c r="S205" i="64"/>
  <c r="AD28" i="63"/>
  <c r="S163" i="64"/>
  <c r="AD24" i="63"/>
  <c r="S121" i="64"/>
  <c r="AA31" i="63"/>
  <c r="O198" i="64"/>
  <c r="AA27" i="63"/>
  <c r="O156" i="64"/>
  <c r="AA23" i="63"/>
  <c r="O114" i="64"/>
  <c r="AD31" i="63"/>
  <c r="S198" i="64"/>
  <c r="AD27" i="63"/>
  <c r="S156" i="64"/>
  <c r="AD23" i="63"/>
  <c r="S114" i="64"/>
  <c r="AA30" i="63"/>
  <c r="O191" i="64"/>
  <c r="AA26" i="63"/>
  <c r="O149" i="64"/>
  <c r="AA22" i="63"/>
  <c r="O107" i="64"/>
  <c r="AD30" i="63"/>
  <c r="S191" i="64"/>
  <c r="AD26" i="63"/>
  <c r="S149" i="64"/>
  <c r="AD22" i="63"/>
  <c r="S107" i="64"/>
  <c r="AA17" i="63"/>
  <c r="O58" i="64"/>
  <c r="AD17" i="63"/>
  <c r="S58" i="64"/>
  <c r="AA20" i="63"/>
  <c r="O79" i="64"/>
  <c r="AD20" i="63"/>
  <c r="S79" i="64"/>
  <c r="AA19" i="63"/>
  <c r="O72" i="64"/>
  <c r="AD19" i="63"/>
  <c r="S72" i="64"/>
  <c r="AA18" i="63"/>
  <c r="O65" i="64"/>
  <c r="AD18" i="63"/>
  <c r="S65" i="64"/>
  <c r="S36" i="64"/>
  <c r="AD16" i="63"/>
  <c r="Q35" i="64"/>
  <c r="AA16" i="63"/>
  <c r="O36" i="64"/>
  <c r="AA15" i="63"/>
  <c r="O29" i="64"/>
  <c r="AD14" i="63"/>
  <c r="S22" i="64"/>
  <c r="Q21" i="64"/>
  <c r="O22" i="64"/>
  <c r="AA14" i="63"/>
  <c r="S15" i="64"/>
  <c r="AD13" i="63"/>
  <c r="AD15" i="63"/>
  <c r="S29" i="64"/>
  <c r="O15" i="64"/>
  <c r="AF13" i="63"/>
  <c r="Q14" i="64" s="1"/>
  <c r="H57" i="56"/>
  <c r="Y25" i="54"/>
  <c r="AX2" i="54" l="1"/>
  <c r="AW2" i="54"/>
  <c r="AI6" i="54"/>
  <c r="AI5" i="54"/>
  <c r="AM5" i="54" s="1"/>
  <c r="BI2" i="54" l="1"/>
  <c r="BI5" i="54" s="1"/>
  <c r="K19" i="53" l="1"/>
  <c r="Q19" i="53" s="1"/>
  <c r="K18" i="53"/>
  <c r="Q18" i="53" s="1"/>
  <c r="AC20" i="53"/>
  <c r="L65" i="56"/>
  <c r="G65" i="56"/>
  <c r="L64" i="56"/>
  <c r="G64" i="56"/>
  <c r="L63" i="56"/>
  <c r="G63" i="56"/>
  <c r="L62" i="56"/>
  <c r="G62" i="56"/>
  <c r="L61" i="56"/>
  <c r="G61" i="56"/>
  <c r="L60" i="56"/>
  <c r="G60" i="56"/>
  <c r="L59" i="56"/>
  <c r="G59" i="56"/>
  <c r="L58" i="56"/>
  <c r="L57" i="56"/>
  <c r="G57" i="56"/>
  <c r="H56" i="56"/>
  <c r="L56" i="56" s="1"/>
  <c r="L50" i="56"/>
  <c r="H50" i="56"/>
  <c r="G50" i="56"/>
  <c r="L49" i="56"/>
  <c r="H49" i="56"/>
  <c r="G49" i="56"/>
  <c r="L48" i="56"/>
  <c r="H48" i="56"/>
  <c r="G48" i="56"/>
  <c r="L47" i="56"/>
  <c r="H47" i="56"/>
  <c r="G47" i="56"/>
  <c r="AD46" i="56"/>
  <c r="AC46" i="56"/>
  <c r="AB46" i="56"/>
  <c r="AA46" i="56"/>
  <c r="Z46" i="56"/>
  <c r="Y46" i="56"/>
  <c r="X46" i="56"/>
  <c r="W46" i="56"/>
  <c r="V46" i="56"/>
  <c r="U46" i="56"/>
  <c r="L46" i="56"/>
  <c r="H46" i="56"/>
  <c r="G46" i="56"/>
  <c r="L45" i="56"/>
  <c r="H45" i="56"/>
  <c r="G45" i="56"/>
  <c r="L44" i="56"/>
  <c r="H44" i="56"/>
  <c r="G44" i="56"/>
  <c r="L43" i="56"/>
  <c r="H43" i="56"/>
  <c r="G43" i="56"/>
  <c r="L42" i="56"/>
  <c r="H42" i="56"/>
  <c r="G42" i="56"/>
  <c r="L41" i="56"/>
  <c r="H41" i="56"/>
  <c r="G41" i="56"/>
  <c r="L40" i="56"/>
  <c r="H40" i="56"/>
  <c r="G40" i="56"/>
  <c r="L39" i="56"/>
  <c r="H39" i="56"/>
  <c r="G39" i="56"/>
  <c r="L38" i="56"/>
  <c r="H38" i="56"/>
  <c r="G38" i="56"/>
  <c r="L37" i="56"/>
  <c r="H37" i="56"/>
  <c r="G37" i="56"/>
  <c r="L36" i="56"/>
  <c r="H36" i="56"/>
  <c r="G36" i="56"/>
  <c r="L35" i="56"/>
  <c r="H35" i="56"/>
  <c r="G35" i="56"/>
  <c r="AB34" i="56"/>
  <c r="AA34" i="56"/>
  <c r="Z34" i="56"/>
  <c r="Y34" i="56"/>
  <c r="X34" i="56"/>
  <c r="W34" i="56"/>
  <c r="V34" i="56"/>
  <c r="L34" i="56"/>
  <c r="H34" i="56"/>
  <c r="G34" i="56"/>
  <c r="U33" i="56"/>
  <c r="L33" i="56"/>
  <c r="H33" i="56"/>
  <c r="G33" i="56"/>
  <c r="U32" i="56"/>
  <c r="L32" i="56"/>
  <c r="H32" i="56"/>
  <c r="G32" i="56"/>
  <c r="U31" i="56"/>
  <c r="L31" i="56"/>
  <c r="H31" i="56"/>
  <c r="G31" i="56"/>
  <c r="U30" i="56"/>
  <c r="L30" i="56"/>
  <c r="H30" i="56"/>
  <c r="G30" i="56"/>
  <c r="L29" i="56"/>
  <c r="H29" i="56"/>
  <c r="G29" i="56"/>
  <c r="L28" i="56"/>
  <c r="H28" i="56"/>
  <c r="G28" i="56"/>
  <c r="L27" i="56"/>
  <c r="H27" i="56"/>
  <c r="G27" i="56"/>
  <c r="L26" i="56"/>
  <c r="H26" i="56"/>
  <c r="G26" i="56"/>
  <c r="L25" i="56"/>
  <c r="H25" i="56"/>
  <c r="G25" i="56"/>
  <c r="L24" i="56"/>
  <c r="H24" i="56"/>
  <c r="G24" i="56"/>
  <c r="L23" i="56"/>
  <c r="H23" i="56"/>
  <c r="G23" i="56"/>
  <c r="L22" i="56"/>
  <c r="H22" i="56"/>
  <c r="G22" i="56"/>
  <c r="L21" i="56"/>
  <c r="H21" i="56"/>
  <c r="G21" i="56"/>
  <c r="L20" i="56"/>
  <c r="H20" i="56"/>
  <c r="G20" i="56"/>
  <c r="L19" i="56"/>
  <c r="H19" i="56"/>
  <c r="G19" i="56"/>
  <c r="L18" i="56"/>
  <c r="H18" i="56"/>
  <c r="G18" i="56"/>
  <c r="L17" i="56"/>
  <c r="H17" i="56"/>
  <c r="G17" i="56"/>
  <c r="L16" i="56"/>
  <c r="H16" i="56"/>
  <c r="G16" i="56"/>
  <c r="L15" i="56"/>
  <c r="H15" i="56"/>
  <c r="G15" i="56"/>
  <c r="L14" i="56"/>
  <c r="H14" i="56"/>
  <c r="G14" i="56"/>
  <c r="L13" i="56"/>
  <c r="H13" i="56"/>
  <c r="L12" i="56"/>
  <c r="H12" i="56"/>
  <c r="O11" i="56"/>
  <c r="H11" i="56"/>
  <c r="U5" i="56"/>
  <c r="K5" i="56"/>
  <c r="I59" i="56" s="1"/>
  <c r="X3" i="56"/>
  <c r="U3" i="56"/>
  <c r="K3" i="56"/>
  <c r="T281" i="54"/>
  <c r="R281" i="54"/>
  <c r="T279" i="54"/>
  <c r="R279" i="54"/>
  <c r="AC48" i="54"/>
  <c r="AC47" i="54"/>
  <c r="AE45" i="54"/>
  <c r="AE33" i="54"/>
  <c r="AC9" i="54"/>
  <c r="AK6" i="54"/>
  <c r="AN6" i="54" s="1"/>
  <c r="AJ6" i="54"/>
  <c r="AL6" i="54" s="1"/>
  <c r="AF5" i="54"/>
  <c r="AF4" i="54"/>
  <c r="AZ3" i="54"/>
  <c r="BF2" i="54"/>
  <c r="BF5" i="54" s="1"/>
  <c r="AU2" i="54"/>
  <c r="AM6" i="54" s="1"/>
  <c r="K22" i="53"/>
  <c r="K21" i="53"/>
  <c r="W20" i="53"/>
  <c r="W19" i="53"/>
  <c r="W18" i="53"/>
  <c r="Y13" i="53"/>
  <c r="AA7" i="53"/>
  <c r="Y7" i="53"/>
  <c r="AB105" i="59"/>
  <c r="AB104" i="59"/>
  <c r="AB103" i="59"/>
  <c r="AA102" i="59"/>
  <c r="AB102" i="59" s="1"/>
  <c r="AA101" i="59"/>
  <c r="AB101" i="59" s="1"/>
  <c r="AA100" i="59"/>
  <c r="AB100" i="59" s="1"/>
  <c r="AB99" i="59"/>
  <c r="T95" i="59"/>
  <c r="T91" i="59"/>
  <c r="T87" i="59"/>
  <c r="T85" i="59"/>
  <c r="T81" i="59"/>
  <c r="T77" i="59"/>
  <c r="T76" i="59"/>
  <c r="AA69" i="59"/>
  <c r="AY59" i="59"/>
  <c r="AY58" i="59"/>
  <c r="F58" i="59"/>
  <c r="AY57" i="59"/>
  <c r="AY56" i="59"/>
  <c r="AY55" i="59"/>
  <c r="AY54" i="59"/>
  <c r="AX53" i="59"/>
  <c r="AW53" i="59"/>
  <c r="AX52" i="59"/>
  <c r="AW52" i="59"/>
  <c r="AX50" i="59"/>
  <c r="AW50" i="59"/>
  <c r="AX49" i="59"/>
  <c r="AW49" i="59"/>
  <c r="AY48" i="59"/>
  <c r="T48" i="59"/>
  <c r="AX47" i="59"/>
  <c r="AW47" i="59"/>
  <c r="R47" i="59"/>
  <c r="P47" i="59"/>
  <c r="AX46" i="59"/>
  <c r="AW46" i="59"/>
  <c r="R46" i="59"/>
  <c r="P46" i="59"/>
  <c r="T45" i="59"/>
  <c r="AX44" i="59"/>
  <c r="AW44" i="59"/>
  <c r="R44" i="59"/>
  <c r="P44" i="59"/>
  <c r="AX43" i="59"/>
  <c r="AW43" i="59"/>
  <c r="R43" i="59"/>
  <c r="P43" i="59"/>
  <c r="AX42" i="59"/>
  <c r="AW42" i="59"/>
  <c r="T42" i="59"/>
  <c r="R41" i="59"/>
  <c r="P41" i="59"/>
  <c r="R40" i="59"/>
  <c r="P40" i="59"/>
  <c r="T39" i="59"/>
  <c r="R38" i="59"/>
  <c r="P38" i="59"/>
  <c r="R37" i="59"/>
  <c r="P37" i="59"/>
  <c r="R36" i="59"/>
  <c r="P36" i="59"/>
  <c r="BJ35" i="59"/>
  <c r="BI35" i="59"/>
  <c r="BH35" i="59"/>
  <c r="BG35" i="59"/>
  <c r="BF35" i="59"/>
  <c r="BE35" i="59"/>
  <c r="BD35" i="59"/>
  <c r="BC35" i="59"/>
  <c r="BB35" i="59"/>
  <c r="BA35" i="59"/>
  <c r="AZ35" i="59"/>
  <c r="AY35" i="59"/>
  <c r="AX35" i="59"/>
  <c r="AW35" i="59"/>
  <c r="AV35" i="59"/>
  <c r="AU35" i="59"/>
  <c r="BJ34" i="59"/>
  <c r="BI34" i="59"/>
  <c r="BH34" i="59"/>
  <c r="BG34" i="59"/>
  <c r="BF34" i="59"/>
  <c r="BE34" i="59"/>
  <c r="BD34" i="59"/>
  <c r="BC34" i="59"/>
  <c r="BB34" i="59"/>
  <c r="BA34" i="59"/>
  <c r="AZ34" i="59"/>
  <c r="AY34" i="59"/>
  <c r="AX34" i="59"/>
  <c r="AW34" i="59"/>
  <c r="AV34" i="59"/>
  <c r="AU34" i="59"/>
  <c r="BJ33" i="59"/>
  <c r="BI33" i="59"/>
  <c r="BH33" i="59"/>
  <c r="BG33" i="59"/>
  <c r="BF33" i="59"/>
  <c r="BE33" i="59"/>
  <c r="BD33" i="59"/>
  <c r="BC33" i="59"/>
  <c r="BB33" i="59"/>
  <c r="BA33" i="59"/>
  <c r="AZ33" i="59"/>
  <c r="AY33" i="59"/>
  <c r="AX33" i="59"/>
  <c r="AW33" i="59"/>
  <c r="AV33" i="59"/>
  <c r="AU33" i="59"/>
  <c r="BJ32" i="59"/>
  <c r="BI32" i="59"/>
  <c r="BH32" i="59"/>
  <c r="BG32" i="59"/>
  <c r="BF32" i="59"/>
  <c r="BE32" i="59"/>
  <c r="BD32" i="59"/>
  <c r="BC32" i="59"/>
  <c r="BB32" i="59"/>
  <c r="BA32" i="59"/>
  <c r="AZ32" i="59"/>
  <c r="AY32" i="59"/>
  <c r="AX32" i="59"/>
  <c r="AW32" i="59"/>
  <c r="AV32" i="59"/>
  <c r="AU32" i="59"/>
  <c r="T32" i="59"/>
  <c r="D63" i="59" s="1"/>
  <c r="BJ31" i="59"/>
  <c r="BI31" i="59"/>
  <c r="BH31" i="59"/>
  <c r="BG31" i="59"/>
  <c r="BF31" i="59"/>
  <c r="BE31" i="59"/>
  <c r="BD31" i="59"/>
  <c r="BC31" i="59"/>
  <c r="BB31" i="59"/>
  <c r="BA31" i="59"/>
  <c r="AZ31" i="59"/>
  <c r="AY31" i="59"/>
  <c r="AX31" i="59"/>
  <c r="AW31" i="59"/>
  <c r="AV31" i="59"/>
  <c r="AU31" i="59"/>
  <c r="AQ29" i="59"/>
  <c r="AH29" i="59"/>
  <c r="AG29" i="59"/>
  <c r="AF29" i="59"/>
  <c r="AE29" i="59"/>
  <c r="AD29" i="59"/>
  <c r="AC29" i="59"/>
  <c r="AB29" i="59"/>
  <c r="AA29" i="59"/>
  <c r="AO28" i="59"/>
  <c r="AN28" i="59"/>
  <c r="AM28" i="59"/>
  <c r="AL28" i="59"/>
  <c r="AK28" i="59"/>
  <c r="AJ28" i="59"/>
  <c r="AI28" i="59"/>
  <c r="AA28" i="59"/>
  <c r="AO27" i="59"/>
  <c r="AN27" i="59"/>
  <c r="AM27" i="59"/>
  <c r="AL27" i="59"/>
  <c r="AK27" i="59"/>
  <c r="AJ27" i="59"/>
  <c r="AI27" i="59"/>
  <c r="AA27" i="59"/>
  <c r="AO26" i="59"/>
  <c r="AN26" i="59"/>
  <c r="AM26" i="59"/>
  <c r="AL26" i="59"/>
  <c r="AK26" i="59"/>
  <c r="AJ26" i="59"/>
  <c r="AI26" i="59"/>
  <c r="AA26" i="59"/>
  <c r="AO25" i="59"/>
  <c r="AN25" i="59"/>
  <c r="AM25" i="59"/>
  <c r="AL25" i="59"/>
  <c r="AK25" i="59"/>
  <c r="AJ25" i="59"/>
  <c r="AI25" i="59"/>
  <c r="AA25" i="59"/>
  <c r="AO24" i="59"/>
  <c r="AN24" i="59"/>
  <c r="AM24" i="59"/>
  <c r="AL24" i="59"/>
  <c r="AK24" i="59"/>
  <c r="AJ24" i="59"/>
  <c r="AI24" i="59"/>
  <c r="AA24" i="59"/>
  <c r="AO23" i="59"/>
  <c r="AN23" i="59"/>
  <c r="AM23" i="59"/>
  <c r="AL23" i="59"/>
  <c r="AK23" i="59"/>
  <c r="AJ23" i="59"/>
  <c r="AI23" i="59"/>
  <c r="AA23" i="59"/>
  <c r="AO22" i="59"/>
  <c r="AO29" i="59" s="1"/>
  <c r="AN22" i="59"/>
  <c r="AN29" i="59" s="1"/>
  <c r="AM22" i="59"/>
  <c r="AM29" i="59" s="1"/>
  <c r="AL22" i="59"/>
  <c r="AL29" i="59" s="1"/>
  <c r="AK22" i="59"/>
  <c r="AK29" i="59" s="1"/>
  <c r="AJ22" i="59"/>
  <c r="AJ29" i="59" s="1"/>
  <c r="AI22" i="59"/>
  <c r="AI29" i="59" s="1"/>
  <c r="AA22" i="59"/>
  <c r="AB19" i="59"/>
  <c r="AA19" i="59"/>
  <c r="Z19" i="59"/>
  <c r="Y19" i="59"/>
  <c r="AE18" i="59"/>
  <c r="AB18" i="59"/>
  <c r="AA18" i="59"/>
  <c r="Z18" i="59"/>
  <c r="Y18" i="59"/>
  <c r="AB17" i="59"/>
  <c r="AA17" i="59"/>
  <c r="Z17" i="59"/>
  <c r="Y17" i="59"/>
  <c r="AD16" i="59"/>
  <c r="AE16" i="59" s="1"/>
  <c r="AC44" i="59" s="1"/>
  <c r="AB16" i="59"/>
  <c r="AA16" i="59"/>
  <c r="Z16" i="59"/>
  <c r="Y16" i="59"/>
  <c r="AB15" i="59"/>
  <c r="AA15" i="59"/>
  <c r="Z15" i="59"/>
  <c r="Y15" i="59"/>
  <c r="O15" i="59"/>
  <c r="AH16" i="59" s="1"/>
  <c r="AN1" i="59"/>
  <c r="K63" i="56" l="1"/>
  <c r="K57" i="56"/>
  <c r="K61" i="56"/>
  <c r="K65" i="56"/>
  <c r="AW36" i="59"/>
  <c r="BC42" i="59" s="1"/>
  <c r="BE36" i="59"/>
  <c r="BG42" i="59" s="1"/>
  <c r="BB36" i="59"/>
  <c r="BE43" i="59" s="1"/>
  <c r="BJ36" i="59"/>
  <c r="BI43" i="59" s="1"/>
  <c r="AY60" i="59"/>
  <c r="AB44" i="59"/>
  <c r="BA36" i="59"/>
  <c r="BE42" i="59" s="1"/>
  <c r="BI36" i="59"/>
  <c r="BI42" i="59" s="1"/>
  <c r="AL9" i="54"/>
  <c r="T25" i="59"/>
  <c r="AC30" i="56"/>
  <c r="T26" i="59"/>
  <c r="AC31" i="56"/>
  <c r="T27" i="59"/>
  <c r="AC32" i="56"/>
  <c r="T28" i="59"/>
  <c r="AC33" i="56"/>
  <c r="AQ44" i="59"/>
  <c r="T47" i="59"/>
  <c r="AU36" i="59"/>
  <c r="BB42" i="59" s="1"/>
  <c r="BC36" i="59"/>
  <c r="BF42" i="59" s="1"/>
  <c r="T40" i="59"/>
  <c r="T44" i="59"/>
  <c r="T46" i="59"/>
  <c r="K60" i="56"/>
  <c r="K64" i="56"/>
  <c r="Z20" i="59"/>
  <c r="AY36" i="59"/>
  <c r="BD42" i="59" s="1"/>
  <c r="BG36" i="59"/>
  <c r="BH42" i="59" s="1"/>
  <c r="AA20" i="59"/>
  <c r="AX36" i="59"/>
  <c r="BC43" i="59" s="1"/>
  <c r="BF36" i="59"/>
  <c r="BG43" i="59" s="1"/>
  <c r="T38" i="59"/>
  <c r="AW60" i="59"/>
  <c r="X64" i="59"/>
  <c r="Q300" i="59" s="1"/>
  <c r="AB20" i="59"/>
  <c r="Y20" i="59"/>
  <c r="AV36" i="59"/>
  <c r="BB43" i="59" s="1"/>
  <c r="AZ36" i="59"/>
  <c r="BD43" i="59" s="1"/>
  <c r="BD36" i="59"/>
  <c r="BF43" i="59" s="1"/>
  <c r="BH36" i="59"/>
  <c r="BH43" i="59" s="1"/>
  <c r="T36" i="59"/>
  <c r="T37" i="59"/>
  <c r="T41" i="59"/>
  <c r="I32" i="56"/>
  <c r="I49" i="56"/>
  <c r="I65" i="56"/>
  <c r="I47" i="56"/>
  <c r="I62" i="56"/>
  <c r="I12" i="56"/>
  <c r="AH10" i="54"/>
  <c r="BG2" i="54"/>
  <c r="BG5" i="54" s="1"/>
  <c r="BH2" i="54"/>
  <c r="BH5" i="54" s="1"/>
  <c r="K20" i="53"/>
  <c r="Q20" i="53" s="1"/>
  <c r="AX60" i="59"/>
  <c r="AI44" i="59"/>
  <c r="AF44" i="59"/>
  <c r="AF32" i="59"/>
  <c r="AH44" i="59"/>
  <c r="AG44" i="59"/>
  <c r="AE44" i="59"/>
  <c r="AD44" i="59"/>
  <c r="T43" i="59"/>
  <c r="AJ5" i="54"/>
  <c r="X71" i="59"/>
  <c r="Q302" i="59" s="1"/>
  <c r="I17" i="56"/>
  <c r="I48" i="56"/>
  <c r="I50" i="56"/>
  <c r="I58" i="56"/>
  <c r="I38" i="56"/>
  <c r="I63" i="56"/>
  <c r="I31" i="56"/>
  <c r="I11" i="56"/>
  <c r="I61" i="56"/>
  <c r="I36" i="56"/>
  <c r="I40" i="56"/>
  <c r="I42" i="56"/>
  <c r="I44" i="56"/>
  <c r="I46" i="56"/>
  <c r="I57" i="56"/>
  <c r="I60" i="56"/>
  <c r="I13" i="56"/>
  <c r="I19" i="56"/>
  <c r="I21" i="56"/>
  <c r="I25" i="56"/>
  <c r="I27" i="56"/>
  <c r="I34" i="56"/>
  <c r="I33" i="56"/>
  <c r="I35" i="56"/>
  <c r="I37" i="56"/>
  <c r="I39" i="56"/>
  <c r="I41" i="56"/>
  <c r="I43" i="56"/>
  <c r="I45" i="56"/>
  <c r="K59" i="56"/>
  <c r="I64" i="56"/>
  <c r="I15" i="56"/>
  <c r="I23" i="56"/>
  <c r="I29" i="56"/>
  <c r="I14" i="56"/>
  <c r="I16" i="56"/>
  <c r="I18" i="56"/>
  <c r="I20" i="56"/>
  <c r="I22" i="56"/>
  <c r="I24" i="56"/>
  <c r="I26" i="56"/>
  <c r="I28" i="56"/>
  <c r="I30" i="56"/>
  <c r="K62" i="56"/>
  <c r="AA12" i="53"/>
  <c r="K15" i="56"/>
  <c r="K17" i="56"/>
  <c r="K19" i="56"/>
  <c r="K21" i="56"/>
  <c r="K23" i="56"/>
  <c r="K25" i="56"/>
  <c r="K27" i="56"/>
  <c r="K28" i="56"/>
  <c r="K40" i="56"/>
  <c r="K33" i="56"/>
  <c r="K38" i="56"/>
  <c r="K42" i="56"/>
  <c r="K44" i="56"/>
  <c r="K46" i="56"/>
  <c r="K32" i="56"/>
  <c r="K31" i="56"/>
  <c r="K48" i="56"/>
  <c r="K50" i="56"/>
  <c r="K14" i="56"/>
  <c r="K16" i="56"/>
  <c r="K18" i="56"/>
  <c r="K20" i="56"/>
  <c r="K22" i="56"/>
  <c r="K24" i="56"/>
  <c r="K26" i="56"/>
  <c r="K29" i="56"/>
  <c r="K30" i="56"/>
  <c r="K34" i="56"/>
  <c r="AE46" i="56"/>
  <c r="K35" i="56"/>
  <c r="K36" i="56"/>
  <c r="K37" i="56"/>
  <c r="K39" i="56"/>
  <c r="K41" i="56"/>
  <c r="K43" i="56"/>
  <c r="K45" i="56"/>
  <c r="K47" i="56"/>
  <c r="K49" i="56"/>
  <c r="K4" i="56"/>
  <c r="G15" i="53" l="1"/>
  <c r="S15" i="53" s="1"/>
  <c r="M15" i="53"/>
  <c r="AZ60" i="59"/>
  <c r="Y71" i="59" s="1"/>
  <c r="R59" i="59" s="1"/>
  <c r="Y2" i="59"/>
  <c r="BO11" i="59" s="1"/>
  <c r="AL5" i="54"/>
  <c r="AK9" i="54"/>
  <c r="T54" i="59"/>
  <c r="Y64" i="59" s="1"/>
  <c r="K14" i="53"/>
  <c r="I15" i="53"/>
  <c r="U15" i="53" s="1"/>
  <c r="O15" i="53"/>
  <c r="AH9" i="54"/>
  <c r="AE32" i="59"/>
  <c r="AD32" i="59"/>
  <c r="AC32" i="59"/>
  <c r="AB32" i="59"/>
  <c r="Y12" i="53"/>
  <c r="AC12" i="53" s="1"/>
  <c r="BG11" i="59"/>
  <c r="K17" i="53"/>
  <c r="J63" i="56"/>
  <c r="J59" i="56"/>
  <c r="J56" i="56"/>
  <c r="G56" i="56" s="1"/>
  <c r="K56" i="56" s="1"/>
  <c r="J46" i="56"/>
  <c r="J44" i="56"/>
  <c r="J42" i="56"/>
  <c r="J40" i="56"/>
  <c r="J38" i="56"/>
  <c r="J34" i="56"/>
  <c r="J30" i="56"/>
  <c r="J61" i="56"/>
  <c r="J45" i="56"/>
  <c r="J43" i="56"/>
  <c r="J39" i="56"/>
  <c r="J32" i="56"/>
  <c r="J11" i="56"/>
  <c r="G11" i="56" s="1"/>
  <c r="J62" i="56"/>
  <c r="J58" i="56"/>
  <c r="G58" i="56" s="1"/>
  <c r="J50" i="56"/>
  <c r="J48" i="56"/>
  <c r="J36" i="56"/>
  <c r="J31" i="56"/>
  <c r="J27" i="56"/>
  <c r="J25" i="56"/>
  <c r="J23" i="56"/>
  <c r="J21" i="56"/>
  <c r="J19" i="56"/>
  <c r="J17" i="56"/>
  <c r="J15" i="56"/>
  <c r="J13" i="56"/>
  <c r="G13" i="56" s="1"/>
  <c r="J65" i="56"/>
  <c r="J57" i="56"/>
  <c r="J41" i="56"/>
  <c r="J37" i="56"/>
  <c r="J35" i="56"/>
  <c r="J28" i="56"/>
  <c r="J64" i="56"/>
  <c r="J60" i="56"/>
  <c r="J49" i="56"/>
  <c r="J47" i="56"/>
  <c r="J33" i="56"/>
  <c r="J29" i="56"/>
  <c r="J26" i="56"/>
  <c r="J24" i="56"/>
  <c r="J22" i="56"/>
  <c r="J20" i="56"/>
  <c r="J18" i="56"/>
  <c r="J16" i="56"/>
  <c r="J14" i="56"/>
  <c r="J12" i="56"/>
  <c r="G12" i="56" s="1"/>
  <c r="BC15" i="59" l="1"/>
  <c r="BW18" i="59"/>
  <c r="AU6" i="59"/>
  <c r="AY14" i="59"/>
  <c r="BG6" i="59"/>
  <c r="AY7" i="59"/>
  <c r="AY17" i="59"/>
  <c r="BK5" i="59"/>
  <c r="BS11" i="59"/>
  <c r="BW10" i="59"/>
  <c r="BK16" i="59"/>
  <c r="BC16" i="59"/>
  <c r="BS18" i="59"/>
  <c r="BS15" i="59"/>
  <c r="BK6" i="59"/>
  <c r="BK8" i="59"/>
  <c r="BC7" i="59"/>
  <c r="BO13" i="59"/>
  <c r="AU8" i="59"/>
  <c r="BK10" i="59"/>
  <c r="BS7" i="59"/>
  <c r="BG16" i="59"/>
  <c r="BG4" i="59"/>
  <c r="BG18" i="59"/>
  <c r="BC11" i="59"/>
  <c r="BG13" i="59"/>
  <c r="BW8" i="59"/>
  <c r="BO5" i="59"/>
  <c r="AU16" i="59"/>
  <c r="R302" i="59"/>
  <c r="AA9" i="53"/>
  <c r="W14" i="53"/>
  <c r="BO18" i="59"/>
  <c r="AU12" i="59"/>
  <c r="AY5" i="59"/>
  <c r="BO16" i="59"/>
  <c r="AY16" i="59"/>
  <c r="AU14" i="59"/>
  <c r="AY9" i="59"/>
  <c r="BS8" i="59"/>
  <c r="BS17" i="59"/>
  <c r="BK4" i="59"/>
  <c r="BW7" i="59"/>
  <c r="BG8" i="59"/>
  <c r="BG9" i="59"/>
  <c r="BG17" i="59"/>
  <c r="BO9" i="59"/>
  <c r="BS16" i="59"/>
  <c r="AU13" i="59"/>
  <c r="AY10" i="59"/>
  <c r="BC5" i="59"/>
  <c r="BC9" i="59"/>
  <c r="BC13" i="59"/>
  <c r="BK9" i="59"/>
  <c r="BO7" i="59"/>
  <c r="BK15" i="59"/>
  <c r="W15" i="53"/>
  <c r="BO6" i="59"/>
  <c r="AY6" i="59"/>
  <c r="BG7" i="59"/>
  <c r="BW9" i="59"/>
  <c r="BG10" i="59"/>
  <c r="BW17" i="59"/>
  <c r="AU9" i="59"/>
  <c r="BO12" i="59"/>
  <c r="BC18" i="59"/>
  <c r="BK14" i="59"/>
  <c r="AY11" i="59"/>
  <c r="BS5" i="59"/>
  <c r="BS9" i="59"/>
  <c r="BS13" i="59"/>
  <c r="BK11" i="59"/>
  <c r="BO8" i="59"/>
  <c r="AU18" i="59"/>
  <c r="BW6" i="59"/>
  <c r="BW14" i="59"/>
  <c r="AU10" i="59"/>
  <c r="BS4" i="59"/>
  <c r="BS12" i="59"/>
  <c r="AU15" i="59"/>
  <c r="BO15" i="59"/>
  <c r="AY12" i="59"/>
  <c r="BO10" i="59"/>
  <c r="AU5" i="59"/>
  <c r="AU4" i="59"/>
  <c r="AY15" i="59"/>
  <c r="BW12" i="59"/>
  <c r="AY4" i="59"/>
  <c r="BK7" i="59"/>
  <c r="AY8" i="59"/>
  <c r="BC4" i="59"/>
  <c r="BC8" i="59"/>
  <c r="BC12" i="59"/>
  <c r="BC17" i="59"/>
  <c r="BO17" i="59"/>
  <c r="BW11" i="59"/>
  <c r="BW13" i="59"/>
  <c r="BG12" i="59"/>
  <c r="BW5" i="59"/>
  <c r="AU11" i="59"/>
  <c r="BO14" i="59"/>
  <c r="BG15" i="59"/>
  <c r="AU17" i="59"/>
  <c r="BC6" i="59"/>
  <c r="BC10" i="59"/>
  <c r="BC14" i="59"/>
  <c r="BK13" i="59"/>
  <c r="BK18" i="59"/>
  <c r="BW4" i="59"/>
  <c r="AY18" i="59"/>
  <c r="BG5" i="59"/>
  <c r="BG14" i="59"/>
  <c r="AU7" i="59"/>
  <c r="BK12" i="59"/>
  <c r="BW16" i="59"/>
  <c r="BW15" i="59"/>
  <c r="BO4" i="59"/>
  <c r="AY13" i="59"/>
  <c r="BS6" i="59"/>
  <c r="BS10" i="59"/>
  <c r="BS14" i="59"/>
  <c r="BK17" i="59"/>
  <c r="Q14" i="53"/>
  <c r="G13" i="53"/>
  <c r="S13" i="53" s="1"/>
  <c r="I16" i="53"/>
  <c r="O16" i="53" s="1"/>
  <c r="H63" i="59"/>
  <c r="Q15" i="53"/>
  <c r="G16" i="53"/>
  <c r="M16" i="53" s="1"/>
  <c r="K15" i="53"/>
  <c r="I13" i="53"/>
  <c r="U9" i="53"/>
  <c r="R300" i="59"/>
  <c r="M59" i="59"/>
  <c r="Z2" i="59"/>
  <c r="Q17" i="53"/>
  <c r="W17" i="53"/>
  <c r="K12" i="56"/>
  <c r="U28" i="56"/>
  <c r="U29" i="56"/>
  <c r="K13" i="56"/>
  <c r="K58" i="56"/>
  <c r="U34" i="56"/>
  <c r="X7" i="56"/>
  <c r="L11" i="56" s="1"/>
  <c r="K11" i="56" s="1"/>
  <c r="U4" i="56"/>
  <c r="X4" i="56" s="1"/>
  <c r="U27" i="56"/>
  <c r="K16" i="53" l="1"/>
  <c r="U16" i="53"/>
  <c r="AU22" i="59"/>
  <c r="AX22" i="59"/>
  <c r="AZ22" i="59"/>
  <c r="AT22" i="59"/>
  <c r="AY22" i="59"/>
  <c r="BA22" i="59"/>
  <c r="AV22" i="59"/>
  <c r="AW22" i="59"/>
  <c r="AA13" i="53"/>
  <c r="Y9" i="53"/>
  <c r="K13" i="53"/>
  <c r="M13" i="53"/>
  <c r="I9" i="53"/>
  <c r="T24" i="59"/>
  <c r="AC29" i="56"/>
  <c r="T29" i="59"/>
  <c r="AC34" i="56"/>
  <c r="T23" i="59"/>
  <c r="AC28" i="56"/>
  <c r="AC27" i="56"/>
  <c r="S16" i="53"/>
  <c r="O13" i="53"/>
  <c r="U13" i="53"/>
  <c r="W13" i="53" s="1"/>
  <c r="BV17" i="59"/>
  <c r="BF17" i="59"/>
  <c r="BN16" i="59"/>
  <c r="AX16" i="59"/>
  <c r="BV14" i="59"/>
  <c r="BF14" i="59"/>
  <c r="BV13" i="59"/>
  <c r="BF13" i="59"/>
  <c r="BV12" i="59"/>
  <c r="BF12" i="59"/>
  <c r="BV11" i="59"/>
  <c r="BF11" i="59"/>
  <c r="BV10" i="59"/>
  <c r="BF10" i="59"/>
  <c r="BV9" i="59"/>
  <c r="BF9" i="59"/>
  <c r="BV8" i="59"/>
  <c r="BF8" i="59"/>
  <c r="BV7" i="59"/>
  <c r="BF7" i="59"/>
  <c r="BV6" i="59"/>
  <c r="BF6" i="59"/>
  <c r="BV5" i="59"/>
  <c r="BF5" i="59"/>
  <c r="BV4" i="59"/>
  <c r="BF4" i="59"/>
  <c r="BV18" i="59"/>
  <c r="BV15" i="59"/>
  <c r="AX17" i="59"/>
  <c r="AX14" i="59"/>
  <c r="BN12" i="59"/>
  <c r="BN11" i="59"/>
  <c r="AX10" i="59"/>
  <c r="BN8" i="59"/>
  <c r="BN6" i="59"/>
  <c r="AX5" i="59"/>
  <c r="BR15" i="59"/>
  <c r="BJ18" i="59"/>
  <c r="AT18" i="59"/>
  <c r="BJ15" i="59"/>
  <c r="AT15" i="59"/>
  <c r="BF18" i="59"/>
  <c r="BF15" i="59"/>
  <c r="BB18" i="59"/>
  <c r="BR17" i="59"/>
  <c r="BB17" i="59"/>
  <c r="BJ16" i="59"/>
  <c r="AT16" i="59"/>
  <c r="BR14" i="59"/>
  <c r="BB14" i="59"/>
  <c r="BR13" i="59"/>
  <c r="BB13" i="59"/>
  <c r="BR12" i="59"/>
  <c r="BB12" i="59"/>
  <c r="BR11" i="59"/>
  <c r="BB11" i="59"/>
  <c r="BR10" i="59"/>
  <c r="BB10" i="59"/>
  <c r="BR9" i="59"/>
  <c r="BB9" i="59"/>
  <c r="BR8" i="59"/>
  <c r="BB8" i="59"/>
  <c r="BR7" i="59"/>
  <c r="BB7" i="59"/>
  <c r="BR6" i="59"/>
  <c r="BB6" i="59"/>
  <c r="BR5" i="59"/>
  <c r="BB5" i="59"/>
  <c r="BR4" i="59"/>
  <c r="BB4" i="59"/>
  <c r="BN17" i="59"/>
  <c r="BV16" i="59"/>
  <c r="AX13" i="59"/>
  <c r="AX11" i="59"/>
  <c r="AX9" i="59"/>
  <c r="BN7" i="59"/>
  <c r="AX6" i="59"/>
  <c r="BN4" i="59"/>
  <c r="BR18" i="59"/>
  <c r="BB15" i="59"/>
  <c r="BF16" i="59"/>
  <c r="BN14" i="59"/>
  <c r="BN13" i="59"/>
  <c r="AX12" i="59"/>
  <c r="BN10" i="59"/>
  <c r="BN9" i="59"/>
  <c r="AX8" i="59"/>
  <c r="AX7" i="59"/>
  <c r="BN5" i="59"/>
  <c r="AX4" i="59"/>
  <c r="AX18" i="59"/>
  <c r="BB16" i="59"/>
  <c r="BN15" i="59"/>
  <c r="BJ4" i="59"/>
  <c r="AT17" i="59"/>
  <c r="BJ14" i="59"/>
  <c r="BJ12" i="59"/>
  <c r="BJ10" i="59"/>
  <c r="BJ8" i="59"/>
  <c r="AT7" i="59"/>
  <c r="AX15" i="59"/>
  <c r="BJ5" i="59"/>
  <c r="AT14" i="59"/>
  <c r="AT12" i="59"/>
  <c r="AT10" i="59"/>
  <c r="AT4" i="59"/>
  <c r="AT8" i="59"/>
  <c r="BJ6" i="59"/>
  <c r="BJ11" i="59"/>
  <c r="BR16" i="59"/>
  <c r="BJ7" i="59"/>
  <c r="AT13" i="59"/>
  <c r="AT9" i="59"/>
  <c r="AT6" i="59"/>
  <c r="BJ13" i="59"/>
  <c r="BJ9" i="59"/>
  <c r="AT5" i="59"/>
  <c r="BN18" i="59"/>
  <c r="BJ17" i="59"/>
  <c r="AT11" i="59"/>
  <c r="Q16" i="53"/>
  <c r="K6" i="56"/>
  <c r="M3" i="56" s="1"/>
  <c r="X5" i="56"/>
  <c r="X6" i="56"/>
  <c r="Y35" i="56"/>
  <c r="W35" i="56"/>
  <c r="AB35" i="56"/>
  <c r="X35" i="56"/>
  <c r="AA35" i="56"/>
  <c r="T22" i="59"/>
  <c r="Z35" i="56"/>
  <c r="V35" i="56"/>
  <c r="W16" i="53" l="1"/>
  <c r="AC9" i="53"/>
  <c r="O9" i="53"/>
  <c r="M9" i="53"/>
  <c r="S9" i="53"/>
  <c r="W9" i="53" s="1"/>
  <c r="AG39" i="54"/>
  <c r="AG36" i="54"/>
  <c r="AF37" i="54"/>
  <c r="AB41" i="54"/>
  <c r="Z41" i="54" s="1"/>
  <c r="AB35" i="54"/>
  <c r="Z35" i="54" s="1"/>
  <c r="AC35" i="54"/>
  <c r="AC37" i="54"/>
  <c r="AG35" i="54"/>
  <c r="AB36" i="54"/>
  <c r="AA36" i="54" s="1"/>
  <c r="AF40" i="54"/>
  <c r="AG37" i="54"/>
  <c r="AF36" i="54"/>
  <c r="AG40" i="54"/>
  <c r="AC42" i="54"/>
  <c r="AC41" i="54"/>
  <c r="AC38" i="54"/>
  <c r="AC36" i="54"/>
  <c r="AB47" i="54"/>
  <c r="AB38" i="54"/>
  <c r="Z38" i="54" s="1"/>
  <c r="AC40" i="54"/>
  <c r="AC39" i="54"/>
  <c r="AB37" i="54"/>
  <c r="AA37" i="54" s="1"/>
  <c r="AF39" i="54"/>
  <c r="Q13" i="53"/>
  <c r="AF35" i="54"/>
  <c r="AF38" i="54"/>
  <c r="AG42" i="54"/>
  <c r="AG38" i="54"/>
  <c r="AF41" i="54"/>
  <c r="AB40" i="54"/>
  <c r="AG41" i="54"/>
  <c r="AB42" i="54"/>
  <c r="AB39" i="54"/>
  <c r="Z39" i="54" s="1"/>
  <c r="AF42" i="54"/>
  <c r="AH28" i="56"/>
  <c r="AH27" i="56"/>
  <c r="U24" i="59"/>
  <c r="AV21" i="59"/>
  <c r="AO35" i="54"/>
  <c r="AN40" i="54" s="1"/>
  <c r="AY21" i="59"/>
  <c r="AZ21" i="59"/>
  <c r="AT21" i="59"/>
  <c r="AU21" i="59"/>
  <c r="AW21" i="59"/>
  <c r="BA21" i="59"/>
  <c r="AX21" i="59"/>
  <c r="U23" i="59"/>
  <c r="U29" i="59"/>
  <c r="M4" i="56"/>
  <c r="X36" i="56"/>
  <c r="W36" i="56"/>
  <c r="Z36" i="56"/>
  <c r="V36" i="56"/>
  <c r="Y36" i="56"/>
  <c r="T30" i="59"/>
  <c r="AB30" i="59" s="1"/>
  <c r="U22" i="59"/>
  <c r="U25" i="59"/>
  <c r="U26" i="59"/>
  <c r="U28" i="59"/>
  <c r="U27" i="59"/>
  <c r="O10" i="53" l="1"/>
  <c r="I10" i="53"/>
  <c r="U10" i="53" s="1"/>
  <c r="Q9" i="53"/>
  <c r="G9" i="53"/>
  <c r="AH30" i="56"/>
  <c r="AA35" i="54"/>
  <c r="AA41" i="54"/>
  <c r="AE40" i="54"/>
  <c r="AD40" i="54" s="1"/>
  <c r="AH39" i="54"/>
  <c r="AE35" i="54"/>
  <c r="AD35" i="54" s="1"/>
  <c r="AE37" i="54"/>
  <c r="AD37" i="54" s="1"/>
  <c r="AI37" i="54" s="1"/>
  <c r="Z36" i="54"/>
  <c r="AH36" i="54" s="1"/>
  <c r="Z47" i="54"/>
  <c r="AA38" i="54"/>
  <c r="AC34" i="54"/>
  <c r="AE38" i="54"/>
  <c r="AD38" i="54" s="1"/>
  <c r="AB48" i="54"/>
  <c r="AH38" i="54"/>
  <c r="AH41" i="54"/>
  <c r="AE42" i="54"/>
  <c r="AD42" i="54" s="1"/>
  <c r="AE41" i="54"/>
  <c r="AD41" i="54" s="1"/>
  <c r="AE39" i="54"/>
  <c r="AD39" i="54" s="1"/>
  <c r="AF34" i="54"/>
  <c r="Z49" i="54"/>
  <c r="AA39" i="54"/>
  <c r="AE36" i="54"/>
  <c r="AD36" i="54" s="1"/>
  <c r="AI36" i="54" s="1"/>
  <c r="Z37" i="54"/>
  <c r="AH37" i="54" s="1"/>
  <c r="AB34" i="54"/>
  <c r="AH35" i="54"/>
  <c r="AA40" i="54"/>
  <c r="Z40" i="54"/>
  <c r="AH40" i="54" s="1"/>
  <c r="Z42" i="54"/>
  <c r="AH42" i="54" s="1"/>
  <c r="AA42" i="54"/>
  <c r="AA49" i="54"/>
  <c r="AG34" i="54"/>
  <c r="AN42" i="54"/>
  <c r="AN48" i="54"/>
  <c r="AN36" i="54"/>
  <c r="AN44" i="54"/>
  <c r="AN46" i="54"/>
  <c r="AN38" i="54"/>
  <c r="AN39" i="54"/>
  <c r="AN37" i="54"/>
  <c r="AN41" i="54"/>
  <c r="AN49" i="54"/>
  <c r="AN50" i="54"/>
  <c r="AN45" i="54"/>
  <c r="AN43" i="54"/>
  <c r="AN47" i="54"/>
  <c r="AK30" i="59"/>
  <c r="AE30" i="59"/>
  <c r="AE49" i="59" s="1"/>
  <c r="AD30" i="59"/>
  <c r="AD49" i="59" s="1"/>
  <c r="AI30" i="59"/>
  <c r="AQ30" i="59"/>
  <c r="AN30" i="59"/>
  <c r="AO30" i="59"/>
  <c r="AH30" i="59"/>
  <c r="AJ30" i="59"/>
  <c r="AC30" i="59"/>
  <c r="AC49" i="59" s="1"/>
  <c r="AG30" i="59"/>
  <c r="AL30" i="59"/>
  <c r="AM30" i="59"/>
  <c r="U30" i="59"/>
  <c r="AB49" i="59"/>
  <c r="AF30" i="59"/>
  <c r="AF49" i="59" s="1"/>
  <c r="AA48" i="54" l="1"/>
  <c r="Z48" i="54"/>
  <c r="Z50" i="54" s="1"/>
  <c r="AI35" i="54"/>
  <c r="AI40" i="54"/>
  <c r="AI41" i="54"/>
  <c r="AE34" i="54"/>
  <c r="AD34" i="54" s="1"/>
  <c r="AI38" i="54"/>
  <c r="AI42" i="54"/>
  <c r="AA47" i="54"/>
  <c r="AI39" i="54"/>
  <c r="Z34" i="54"/>
  <c r="AH34" i="54" s="1"/>
  <c r="AA34" i="54"/>
  <c r="AC31" i="59"/>
  <c r="AC48" i="59" s="1"/>
  <c r="AF31" i="59"/>
  <c r="AF48" i="59" s="1"/>
  <c r="AB31" i="59"/>
  <c r="AB48" i="59" s="1"/>
  <c r="AE31" i="59"/>
  <c r="AE48" i="59" s="1"/>
  <c r="AD31" i="59"/>
  <c r="AD48" i="59" s="1"/>
  <c r="AK55" i="54" l="1"/>
  <c r="AK50" i="54" s="1"/>
  <c r="Q8" i="53"/>
  <c r="Y5" i="53"/>
  <c r="AA5" i="53"/>
  <c r="AA23" i="53" s="1"/>
  <c r="AA50" i="54"/>
  <c r="AI34" i="54"/>
  <c r="AK41" i="54" l="1"/>
  <c r="AK37" i="54"/>
  <c r="AK36" i="54"/>
  <c r="AK38" i="54"/>
  <c r="AK42" i="54"/>
  <c r="AK47" i="54"/>
  <c r="AK46" i="54"/>
  <c r="AK49" i="54"/>
  <c r="AK39" i="54"/>
  <c r="AK43" i="54"/>
  <c r="AK45" i="54"/>
  <c r="AK44" i="54"/>
  <c r="AK48" i="54"/>
  <c r="AK40" i="54"/>
  <c r="G12" i="53"/>
  <c r="M12" i="53"/>
  <c r="O12" i="53"/>
  <c r="I12" i="53"/>
  <c r="U12" i="53"/>
  <c r="S12" i="53"/>
  <c r="I7" i="53"/>
  <c r="U7" i="53" s="1"/>
  <c r="M6" i="53"/>
  <c r="K8" i="53"/>
  <c r="W8" i="53" s="1"/>
  <c r="O6" i="53"/>
  <c r="AC5" i="53"/>
  <c r="Y23" i="53"/>
  <c r="O7" i="53"/>
  <c r="I6" i="53"/>
  <c r="U6" i="53" s="1"/>
  <c r="G10" i="53"/>
  <c r="M10" i="53"/>
  <c r="Q10" i="53" s="1"/>
  <c r="G7" i="53"/>
  <c r="AL55" i="54" l="1"/>
  <c r="K12" i="53"/>
  <c r="Q12" i="53"/>
  <c r="W12" i="53"/>
  <c r="AC11" i="53"/>
  <c r="AC23" i="53" s="1"/>
  <c r="AD24" i="53" s="1"/>
  <c r="K11" i="53"/>
  <c r="Q11" i="53"/>
  <c r="W11" i="53"/>
  <c r="M7" i="53"/>
  <c r="Q7" i="53" s="1"/>
  <c r="S5" i="53"/>
  <c r="M5" i="53"/>
  <c r="G5" i="53"/>
  <c r="G6" i="53"/>
  <c r="S6" i="53" s="1"/>
  <c r="W6" i="53" s="1"/>
  <c r="U5" i="53"/>
  <c r="U23" i="53" s="1"/>
  <c r="Q6" i="53"/>
  <c r="K7" i="53"/>
  <c r="S7" i="53"/>
  <c r="W7" i="53" s="1"/>
  <c r="S10" i="53"/>
  <c r="W10" i="53" s="1"/>
  <c r="K10" i="53"/>
  <c r="I5" i="53" l="1"/>
  <c r="I23" i="53" s="1"/>
  <c r="O5" i="53"/>
  <c r="O23" i="53" s="1"/>
  <c r="K6" i="53"/>
  <c r="G23" i="53"/>
  <c r="M23" i="53"/>
  <c r="W5" i="53"/>
  <c r="W23" i="53" s="1"/>
  <c r="X24" i="53" s="1"/>
  <c r="S23" i="53"/>
  <c r="K5" i="53" l="1"/>
  <c r="Q5" i="53"/>
  <c r="Q23" i="53" s="1"/>
  <c r="Q24" i="53" s="1"/>
  <c r="K9" i="53"/>
  <c r="AE13" i="53" l="1"/>
  <c r="AE16" i="53"/>
  <c r="AE11" i="53"/>
  <c r="AE17" i="53"/>
  <c r="AE8" i="53"/>
  <c r="AE7" i="53"/>
  <c r="AE6" i="53"/>
  <c r="AE12" i="53"/>
  <c r="AE15" i="53"/>
  <c r="AE14" i="53"/>
  <c r="AE5" i="53"/>
  <c r="AE10" i="53"/>
  <c r="K23" i="53"/>
  <c r="L24" i="53" s="1"/>
  <c r="AE9" i="53"/>
  <c r="F31" i="53" l="1"/>
  <c r="F30" i="53"/>
  <c r="F29" i="53"/>
  <c r="F32" i="53"/>
  <c r="AM55" i="54"/>
  <c r="AC5" i="54" l="1"/>
  <c r="AD5" i="54"/>
  <c r="AB5" i="54"/>
  <c r="AE5" i="54"/>
  <c r="AL41" i="54"/>
  <c r="AL43" i="54"/>
  <c r="AL38" i="54"/>
  <c r="AL36" i="54"/>
  <c r="AL47" i="54"/>
  <c r="AL37" i="54"/>
  <c r="AL44" i="54"/>
  <c r="AL50" i="54"/>
  <c r="AL40" i="54"/>
  <c r="AL48" i="54"/>
  <c r="AL39" i="54"/>
  <c r="AL42" i="54"/>
  <c r="AL49" i="54"/>
  <c r="AL45" i="54"/>
  <c r="AL46" i="54"/>
  <c r="AN55" i="54" l="1"/>
</calcChain>
</file>

<file path=xl/comments1.xml><?xml version="1.0" encoding="utf-8"?>
<comments xmlns="http://schemas.openxmlformats.org/spreadsheetml/2006/main">
  <authors>
    <author>taniguchi-r</author>
  </authors>
  <commentList>
    <comment ref="G19" authorId="0">
      <text>
        <r>
          <rPr>
            <b/>
            <sz val="9"/>
            <color indexed="81"/>
            <rFont val="ＭＳ Ｐゴシック"/>
            <family val="3"/>
            <charset val="128"/>
          </rPr>
          <t>西暦で記入
例：2014/10</t>
        </r>
      </text>
    </comment>
    <comment ref="G32" authorId="0">
      <text>
        <r>
          <rPr>
            <b/>
            <sz val="9"/>
            <color indexed="81"/>
            <rFont val="ＭＳ Ｐゴシック"/>
            <family val="3"/>
            <charset val="128"/>
          </rPr>
          <t>西暦で記入
例：2014/10</t>
        </r>
      </text>
    </comment>
    <comment ref="J32" authorId="0">
      <text>
        <r>
          <rPr>
            <b/>
            <sz val="9"/>
            <color indexed="81"/>
            <rFont val="ＭＳ Ｐゴシック"/>
            <family val="3"/>
            <charset val="128"/>
          </rPr>
          <t>西暦で記入
例：2014/10</t>
        </r>
      </text>
    </comment>
  </commentList>
</comments>
</file>

<file path=xl/comments2.xml><?xml version="1.0" encoding="utf-8"?>
<comments xmlns="http://schemas.openxmlformats.org/spreadsheetml/2006/main">
  <authors>
    <author>磯辺 咲菜</author>
    <author>taniguchi-r</author>
  </authors>
  <commentList>
    <comment ref="AT3" authorId="0">
      <text>
        <r>
          <rPr>
            <b/>
            <sz val="9"/>
            <color indexed="81"/>
            <rFont val="ＭＳ Ｐゴシック"/>
            <family val="3"/>
            <charset val="128"/>
          </rPr>
          <t>磯辺 咲菜:</t>
        </r>
        <r>
          <rPr>
            <sz val="9"/>
            <color indexed="81"/>
            <rFont val="ＭＳ Ｐゴシック"/>
            <family val="3"/>
            <charset val="128"/>
          </rPr>
          <t xml:space="preserve">
セル参照になっていません。</t>
        </r>
      </text>
    </comment>
    <comment ref="G16" authorId="1">
      <text>
        <r>
          <rPr>
            <b/>
            <sz val="9"/>
            <color indexed="81"/>
            <rFont val="ＭＳ Ｐゴシック"/>
            <family val="3"/>
            <charset val="128"/>
          </rPr>
          <t>西暦で記入
例：2014/10</t>
        </r>
      </text>
    </comment>
    <comment ref="AX22" authorId="0">
      <text>
        <r>
          <rPr>
            <b/>
            <sz val="9"/>
            <color indexed="81"/>
            <rFont val="ＭＳ Ｐゴシック"/>
            <family val="3"/>
            <charset val="128"/>
          </rPr>
          <t>磯辺 咲菜:</t>
        </r>
        <r>
          <rPr>
            <sz val="9"/>
            <color indexed="81"/>
            <rFont val="ＭＳ Ｐゴシック"/>
            <family val="3"/>
            <charset val="128"/>
          </rPr>
          <t xml:space="preserve">
=VLOOKUP(1,BK4:BL17,2,FALSE)
=VLOOKUP(1,BK4:</t>
        </r>
        <r>
          <rPr>
            <b/>
            <sz val="9"/>
            <color indexed="81"/>
            <rFont val="ＭＳ Ｐゴシック"/>
            <family val="3"/>
            <charset val="128"/>
          </rPr>
          <t>BL18</t>
        </r>
        <r>
          <rPr>
            <sz val="9"/>
            <color indexed="81"/>
            <rFont val="ＭＳ Ｐゴシック"/>
            <family val="3"/>
            <charset val="128"/>
          </rPr>
          <t>,2,FALSE)
ではないか？</t>
        </r>
      </text>
    </comment>
  </commentList>
</comments>
</file>

<file path=xl/sharedStrings.xml><?xml version="1.0" encoding="utf-8"?>
<sst xmlns="http://schemas.openxmlformats.org/spreadsheetml/2006/main" count="1540" uniqueCount="808">
  <si>
    <t>事業所の概要</t>
    <rPh sb="0" eb="3">
      <t>ジギョウショ</t>
    </rPh>
    <rPh sb="4" eb="6">
      <t>ガイヨウ</t>
    </rPh>
    <phoneticPr fontId="22"/>
  </si>
  <si>
    <t>ベンチマーク区分</t>
    <rPh sb="6" eb="8">
      <t>クブン</t>
    </rPh>
    <phoneticPr fontId="22"/>
  </si>
  <si>
    <t>平均原単位</t>
    <rPh sb="0" eb="2">
      <t>ヘイキン</t>
    </rPh>
    <rPh sb="2" eb="5">
      <t>ゲンタンイ</t>
    </rPh>
    <phoneticPr fontId="22"/>
  </si>
  <si>
    <t>用途名</t>
    <rPh sb="0" eb="2">
      <t>ヨウト</t>
    </rPh>
    <rPh sb="2" eb="3">
      <t>メイ</t>
    </rPh>
    <phoneticPr fontId="22"/>
  </si>
  <si>
    <t>床面積 [㎡]</t>
    <rPh sb="0" eb="1">
      <t>ユカ</t>
    </rPh>
    <rPh sb="1" eb="3">
      <t>メンセキ</t>
    </rPh>
    <phoneticPr fontId="22"/>
  </si>
  <si>
    <t>事務所</t>
  </si>
  <si>
    <t>CO2排出量・削減量　集計表</t>
    <rPh sb="3" eb="5">
      <t>ハイシュツ</t>
    </rPh>
    <rPh sb="5" eb="6">
      <t>リョウ</t>
    </rPh>
    <rPh sb="7" eb="9">
      <t>サクゲン</t>
    </rPh>
    <rPh sb="9" eb="10">
      <t>リョウ</t>
    </rPh>
    <rPh sb="11" eb="13">
      <t>シュウケイ</t>
    </rPh>
    <rPh sb="13" eb="14">
      <t>ヒョウ</t>
    </rPh>
    <phoneticPr fontId="22"/>
  </si>
  <si>
    <t>区分</t>
    <rPh sb="0" eb="2">
      <t>クブン</t>
    </rPh>
    <phoneticPr fontId="22"/>
  </si>
  <si>
    <t>No</t>
    <phoneticPr fontId="22"/>
  </si>
  <si>
    <t>CO2削減量
〔t－CO2/年]</t>
    <rPh sb="3" eb="5">
      <t>サクゲン</t>
    </rPh>
    <rPh sb="5" eb="6">
      <t>リョウ</t>
    </rPh>
    <phoneticPr fontId="22"/>
  </si>
  <si>
    <t>高効率熱源機器の導入</t>
    <rPh sb="0" eb="3">
      <t>コウコウリツ</t>
    </rPh>
    <rPh sb="3" eb="5">
      <t>ネツゲン</t>
    </rPh>
    <rPh sb="5" eb="7">
      <t>キキ</t>
    </rPh>
    <rPh sb="8" eb="10">
      <t>ドウニュウ</t>
    </rPh>
    <phoneticPr fontId="22"/>
  </si>
  <si>
    <t>高効率冷却塔の導入</t>
    <rPh sb="0" eb="3">
      <t>コウコウリツ</t>
    </rPh>
    <rPh sb="3" eb="5">
      <t>レイキャク</t>
    </rPh>
    <rPh sb="5" eb="6">
      <t>トウ</t>
    </rPh>
    <rPh sb="7" eb="9">
      <t>ドウニュウ</t>
    </rPh>
    <phoneticPr fontId="22"/>
  </si>
  <si>
    <t>高効率空調用ポンプの導入</t>
    <rPh sb="0" eb="3">
      <t>コウコウリツ</t>
    </rPh>
    <rPh sb="3" eb="6">
      <t>クウチョウヨウ</t>
    </rPh>
    <rPh sb="10" eb="12">
      <t>ドウニュウ</t>
    </rPh>
    <phoneticPr fontId="22"/>
  </si>
  <si>
    <t>高効率空調機の導入</t>
    <rPh sb="0" eb="3">
      <t>コウコウリツ</t>
    </rPh>
    <rPh sb="3" eb="6">
      <t>クウチョウキ</t>
    </rPh>
    <rPh sb="7" eb="9">
      <t>ドウニュウ</t>
    </rPh>
    <phoneticPr fontId="22"/>
  </si>
  <si>
    <t>空調の省エネ制御の導入</t>
    <rPh sb="0" eb="2">
      <t>クウチョウ</t>
    </rPh>
    <rPh sb="3" eb="4">
      <t>ショウ</t>
    </rPh>
    <rPh sb="6" eb="8">
      <t>セイギョ</t>
    </rPh>
    <rPh sb="9" eb="11">
      <t>ドウニュウ</t>
    </rPh>
    <phoneticPr fontId="22"/>
  </si>
  <si>
    <t>高効率照明器具の導入</t>
    <rPh sb="0" eb="3">
      <t>コウコウリツ</t>
    </rPh>
    <rPh sb="3" eb="5">
      <t>ショウメイ</t>
    </rPh>
    <rPh sb="5" eb="7">
      <t>キグ</t>
    </rPh>
    <rPh sb="8" eb="10">
      <t>ドウニュウ</t>
    </rPh>
    <phoneticPr fontId="22"/>
  </si>
  <si>
    <t>照明の省エネ制御の導入</t>
    <rPh sb="0" eb="2">
      <t>ショウメイ</t>
    </rPh>
    <rPh sb="3" eb="4">
      <t>ショウ</t>
    </rPh>
    <rPh sb="6" eb="8">
      <t>セイギョ</t>
    </rPh>
    <rPh sb="9" eb="11">
      <t>ドウニュウ</t>
    </rPh>
    <phoneticPr fontId="22"/>
  </si>
  <si>
    <t>高輝度型誘導灯の導入</t>
    <rPh sb="0" eb="3">
      <t>コウキド</t>
    </rPh>
    <rPh sb="3" eb="4">
      <t>ガタ</t>
    </rPh>
    <rPh sb="4" eb="6">
      <t>ユウドウ</t>
    </rPh>
    <rPh sb="6" eb="7">
      <t>トウ</t>
    </rPh>
    <rPh sb="8" eb="10">
      <t>ドウニュウ</t>
    </rPh>
    <phoneticPr fontId="22"/>
  </si>
  <si>
    <t>高効率変圧器の導入</t>
    <rPh sb="0" eb="3">
      <t>コウコウリツ</t>
    </rPh>
    <rPh sb="3" eb="6">
      <t>ヘンアツキ</t>
    </rPh>
    <rPh sb="7" eb="9">
      <t>ドウニュウ</t>
    </rPh>
    <phoneticPr fontId="22"/>
  </si>
  <si>
    <t>エレベーターの省エネ制御の導入</t>
    <rPh sb="7" eb="8">
      <t>ショウ</t>
    </rPh>
    <rPh sb="10" eb="12">
      <t>セイギョ</t>
    </rPh>
    <rPh sb="13" eb="15">
      <t>ドウニュウ</t>
    </rPh>
    <phoneticPr fontId="22"/>
  </si>
  <si>
    <t>①空調設定温度の緩和</t>
    <rPh sb="1" eb="3">
      <t>クウチョウ</t>
    </rPh>
    <rPh sb="3" eb="5">
      <t>セッテイ</t>
    </rPh>
    <rPh sb="5" eb="7">
      <t>オンド</t>
    </rPh>
    <rPh sb="8" eb="10">
      <t>カンワ</t>
    </rPh>
    <phoneticPr fontId="22"/>
  </si>
  <si>
    <t>冷房時</t>
    <rPh sb="0" eb="2">
      <t>レイボウ</t>
    </rPh>
    <rPh sb="2" eb="3">
      <t>ジ</t>
    </rPh>
    <phoneticPr fontId="22"/>
  </si>
  <si>
    <t>℃</t>
    <phoneticPr fontId="22"/>
  </si>
  <si>
    <t>→</t>
    <phoneticPr fontId="22"/>
  </si>
  <si>
    <t>実施範囲</t>
    <rPh sb="0" eb="2">
      <t>ジッシ</t>
    </rPh>
    <rPh sb="2" eb="4">
      <t>ハンイ</t>
    </rPh>
    <phoneticPr fontId="22"/>
  </si>
  <si>
    <t>%</t>
    <phoneticPr fontId="22"/>
  </si>
  <si>
    <t>t-CO2/年</t>
    <rPh sb="6" eb="7">
      <t>ネン</t>
    </rPh>
    <phoneticPr fontId="22"/>
  </si>
  <si>
    <t>暖房時</t>
    <rPh sb="0" eb="2">
      <t>ダンボウ</t>
    </rPh>
    <rPh sb="2" eb="3">
      <t>ジ</t>
    </rPh>
    <phoneticPr fontId="22"/>
  </si>
  <si>
    <t>②空調起動開始時間の適正化</t>
    <rPh sb="1" eb="3">
      <t>クウチョウ</t>
    </rPh>
    <rPh sb="3" eb="5">
      <t>キドウ</t>
    </rPh>
    <rPh sb="5" eb="7">
      <t>カイシ</t>
    </rPh>
    <rPh sb="7" eb="9">
      <t>ジカン</t>
    </rPh>
    <rPh sb="10" eb="13">
      <t>テキセイカ</t>
    </rPh>
    <phoneticPr fontId="22"/>
  </si>
  <si>
    <t>起動開始時間</t>
    <rPh sb="0" eb="2">
      <t>キドウ</t>
    </rPh>
    <rPh sb="2" eb="4">
      <t>カイシ</t>
    </rPh>
    <rPh sb="4" eb="6">
      <t>ジカン</t>
    </rPh>
    <phoneticPr fontId="22"/>
  </si>
  <si>
    <t>分前</t>
    <rPh sb="0" eb="2">
      <t>フンマエ</t>
    </rPh>
    <phoneticPr fontId="22"/>
  </si>
  <si>
    <t>③照明の間引き</t>
    <rPh sb="1" eb="3">
      <t>ショウメイ</t>
    </rPh>
    <rPh sb="4" eb="6">
      <t>マビ</t>
    </rPh>
    <phoneticPr fontId="22"/>
  </si>
  <si>
    <t>④昼休みの一斉消灯</t>
    <rPh sb="1" eb="3">
      <t>ヒルヤス</t>
    </rPh>
    <rPh sb="5" eb="7">
      <t>イッセイ</t>
    </rPh>
    <rPh sb="7" eb="9">
      <t>ショウトウ</t>
    </rPh>
    <phoneticPr fontId="22"/>
  </si>
  <si>
    <t>⑤照度設定の緩和</t>
    <rPh sb="1" eb="3">
      <t>ショウド</t>
    </rPh>
    <rPh sb="3" eb="5">
      <t>セッテイ</t>
    </rPh>
    <rPh sb="6" eb="8">
      <t>カンワ</t>
    </rPh>
    <phoneticPr fontId="22"/>
  </si>
  <si>
    <t>照度</t>
    <rPh sb="0" eb="2">
      <t>ショウド</t>
    </rPh>
    <phoneticPr fontId="22"/>
  </si>
  <si>
    <t>lx</t>
    <phoneticPr fontId="22"/>
  </si>
  <si>
    <t>旅館・ホテル</t>
  </si>
  <si>
    <t>学校・教育施設</t>
  </si>
  <si>
    <t>病院・診療所</t>
  </si>
  <si>
    <t>保育所</t>
  </si>
  <si>
    <t>保健・介護施設</t>
  </si>
  <si>
    <t>フィットネス施設</t>
  </si>
  <si>
    <t>パチンコ店舗</t>
  </si>
  <si>
    <t>カラオケボックス店舗</t>
  </si>
  <si>
    <t>ゲームセンター</t>
  </si>
  <si>
    <t>その他</t>
    <rPh sb="2" eb="3">
      <t>ホカ</t>
    </rPh>
    <phoneticPr fontId="22"/>
  </si>
  <si>
    <t>第一計画期間</t>
    <rPh sb="1" eb="2">
      <t>１</t>
    </rPh>
    <phoneticPr fontId="22"/>
  </si>
  <si>
    <t>色欄については、プルダウンメニューから選択</t>
    <rPh sb="0" eb="1">
      <t>イロ</t>
    </rPh>
    <rPh sb="1" eb="2">
      <t>ラン</t>
    </rPh>
    <rPh sb="19" eb="21">
      <t>センタク</t>
    </rPh>
    <phoneticPr fontId="24"/>
  </si>
  <si>
    <t>撤去</t>
    <rPh sb="0" eb="2">
      <t>テッキョ</t>
    </rPh>
    <phoneticPr fontId="22"/>
  </si>
  <si>
    <t>ｺﾝﾊﾟｸﾄ形蛍光ﾗﾝﾌﾟFPR</t>
  </si>
  <si>
    <t>ｺﾝﾊﾟｸﾄ形蛍光ﾗﾝﾌﾟFPL,FDL,FML,FWL</t>
  </si>
  <si>
    <t>○</t>
    <phoneticPr fontId="22"/>
  </si>
  <si>
    <t>点灯時間</t>
    <rPh sb="0" eb="2">
      <t>テントウ</t>
    </rPh>
    <rPh sb="2" eb="4">
      <t>ジカン</t>
    </rPh>
    <phoneticPr fontId="22"/>
  </si>
  <si>
    <t>冷房</t>
    <rPh sb="0" eb="2">
      <t>レイボウ</t>
    </rPh>
    <phoneticPr fontId="22"/>
  </si>
  <si>
    <t>暖房</t>
    <rPh sb="0" eb="2">
      <t>ダンボウ</t>
    </rPh>
    <phoneticPr fontId="22"/>
  </si>
  <si>
    <t>種別</t>
    <rPh sb="0" eb="2">
      <t>シュベツ</t>
    </rPh>
    <phoneticPr fontId="22"/>
  </si>
  <si>
    <t>全熱交換器の導入</t>
    <rPh sb="0" eb="1">
      <t>ゼン</t>
    </rPh>
    <rPh sb="1" eb="5">
      <t>ネツコウカンキ</t>
    </rPh>
    <rPh sb="6" eb="8">
      <t>ドウニュウ</t>
    </rPh>
    <phoneticPr fontId="22"/>
  </si>
  <si>
    <t>事務所</t>
    <phoneticPr fontId="22"/>
  </si>
  <si>
    <t>熱源機器
冷房</t>
  </si>
  <si>
    <t>熱源機器
暖房</t>
  </si>
  <si>
    <t>熱源補機、搬送冷房</t>
  </si>
  <si>
    <t>熱源補機、搬送暖房</t>
  </si>
  <si>
    <t>空調機</t>
  </si>
  <si>
    <t>換気</t>
  </si>
  <si>
    <t>給湯</t>
  </si>
  <si>
    <t>蒸気・熱</t>
    <rPh sb="0" eb="2">
      <t>ジョウキ</t>
    </rPh>
    <rPh sb="3" eb="4">
      <t>ネツ</t>
    </rPh>
    <phoneticPr fontId="20"/>
  </si>
  <si>
    <t>電気</t>
  </si>
  <si>
    <t>中圧ｶﾞｽ</t>
  </si>
  <si>
    <t>低圧ｶﾞｽ</t>
  </si>
  <si>
    <t>LPG</t>
  </si>
  <si>
    <t>A重油</t>
  </si>
  <si>
    <t>灯油</t>
  </si>
  <si>
    <t>商業施設（物販）</t>
  </si>
  <si>
    <t>商業施設（飲食）</t>
  </si>
  <si>
    <t>宿泊施設</t>
  </si>
  <si>
    <t>教育施設</t>
  </si>
  <si>
    <t>医療施設</t>
  </si>
  <si>
    <t>文化・娯楽施設</t>
  </si>
  <si>
    <t>割合[%]</t>
    <rPh sb="0" eb="2">
      <t>ワリアイ</t>
    </rPh>
    <phoneticPr fontId="22"/>
  </si>
  <si>
    <t>その他1 BEMS(任意)</t>
    <rPh sb="2" eb="3">
      <t>ホカ</t>
    </rPh>
    <rPh sb="10" eb="12">
      <t>ニンイ</t>
    </rPh>
    <phoneticPr fontId="22"/>
  </si>
  <si>
    <t>その他3　遮熱・断熱（任意）</t>
    <rPh sb="2" eb="3">
      <t>ホカ</t>
    </rPh>
    <rPh sb="5" eb="6">
      <t>サエギ</t>
    </rPh>
    <rPh sb="6" eb="7">
      <t>ネツ</t>
    </rPh>
    <rPh sb="8" eb="10">
      <t>ダンネツ</t>
    </rPh>
    <rPh sb="11" eb="13">
      <t>ニンイ</t>
    </rPh>
    <phoneticPr fontId="22"/>
  </si>
  <si>
    <t>その他2 太陽光発電（任意）</t>
    <rPh sb="2" eb="3">
      <t>ホカ</t>
    </rPh>
    <rPh sb="5" eb="8">
      <t>タイヨウコウ</t>
    </rPh>
    <rPh sb="8" eb="10">
      <t>ハツデン</t>
    </rPh>
    <rPh sb="11" eb="13">
      <t>ニンイ</t>
    </rPh>
    <phoneticPr fontId="22"/>
  </si>
  <si>
    <t>その他4　（任意）</t>
    <rPh sb="2" eb="3">
      <t>ホカ</t>
    </rPh>
    <rPh sb="6" eb="8">
      <t>ニンイ</t>
    </rPh>
    <phoneticPr fontId="22"/>
  </si>
  <si>
    <t>その他5　（任意）</t>
    <rPh sb="2" eb="3">
      <t>ホカ</t>
    </rPh>
    <rPh sb="6" eb="8">
      <t>ニンイ</t>
    </rPh>
    <phoneticPr fontId="22"/>
  </si>
  <si>
    <t>基準</t>
    <rPh sb="0" eb="2">
      <t>キジュン</t>
    </rPh>
    <phoneticPr fontId="22"/>
  </si>
  <si>
    <t>計</t>
    <rPh sb="0" eb="1">
      <t>ケイ</t>
    </rPh>
    <phoneticPr fontId="22"/>
  </si>
  <si>
    <t>全負荷相当運転時間</t>
    <rPh sb="0" eb="1">
      <t>ゼン</t>
    </rPh>
    <rPh sb="1" eb="3">
      <t>フカ</t>
    </rPh>
    <rPh sb="3" eb="5">
      <t>ソウトウ</t>
    </rPh>
    <rPh sb="5" eb="7">
      <t>ウンテン</t>
    </rPh>
    <rPh sb="7" eb="9">
      <t>ジカン</t>
    </rPh>
    <phoneticPr fontId="22"/>
  </si>
  <si>
    <t>申請範囲の床面積</t>
    <rPh sb="0" eb="2">
      <t>シンセイ</t>
    </rPh>
    <rPh sb="2" eb="4">
      <t>ハンイ</t>
    </rPh>
    <rPh sb="5" eb="8">
      <t>ユカメンセキ</t>
    </rPh>
    <phoneticPr fontId="22"/>
  </si>
  <si>
    <t>㎡</t>
    <phoneticPr fontId="22"/>
  </si>
  <si>
    <t>図書館</t>
    <rPh sb="0" eb="3">
      <t>トショカン</t>
    </rPh>
    <phoneticPr fontId="21"/>
  </si>
  <si>
    <t>博物館・美術館</t>
    <rPh sb="0" eb="3">
      <t>ハクブツカン</t>
    </rPh>
    <rPh sb="4" eb="7">
      <t>ビジュツカン</t>
    </rPh>
    <phoneticPr fontId="21"/>
  </si>
  <si>
    <t>区市町村庁舎等</t>
    <rPh sb="0" eb="1">
      <t>ク</t>
    </rPh>
    <rPh sb="1" eb="4">
      <t>シチョウソン</t>
    </rPh>
    <rPh sb="4" eb="6">
      <t>チョウシャ</t>
    </rPh>
    <rPh sb="6" eb="7">
      <t>ナド</t>
    </rPh>
    <phoneticPr fontId="21"/>
  </si>
  <si>
    <t>主たる用途</t>
    <rPh sb="0" eb="1">
      <t>シュ</t>
    </rPh>
    <rPh sb="3" eb="5">
      <t>ヨウト</t>
    </rPh>
    <phoneticPr fontId="22"/>
  </si>
  <si>
    <t>主用途</t>
    <rPh sb="0" eb="1">
      <t>シュ</t>
    </rPh>
    <rPh sb="1" eb="3">
      <t>ヨウト</t>
    </rPh>
    <phoneticPr fontId="22"/>
  </si>
  <si>
    <t>主たる用途による</t>
    <rPh sb="0" eb="1">
      <t>シュ</t>
    </rPh>
    <rPh sb="3" eb="5">
      <t>ヨウト</t>
    </rPh>
    <phoneticPr fontId="22"/>
  </si>
  <si>
    <t>換算係数</t>
    <rPh sb="0" eb="2">
      <t>カンサン</t>
    </rPh>
    <rPh sb="2" eb="4">
      <t>ケイスウ</t>
    </rPh>
    <phoneticPr fontId="22"/>
  </si>
  <si>
    <t>デフォルト加重平均（運転）</t>
    <rPh sb="5" eb="7">
      <t>カジュウ</t>
    </rPh>
    <rPh sb="7" eb="9">
      <t>ヘイキン</t>
    </rPh>
    <rPh sb="10" eb="12">
      <t>ウンテン</t>
    </rPh>
    <phoneticPr fontId="22"/>
  </si>
  <si>
    <t>デフォルト簡易（運転）</t>
    <rPh sb="5" eb="7">
      <t>カンイ</t>
    </rPh>
    <phoneticPr fontId="22"/>
  </si>
  <si>
    <t>採用デフォルト（運転時間）</t>
    <rPh sb="0" eb="2">
      <t>サイヨウ</t>
    </rPh>
    <rPh sb="8" eb="10">
      <t>ウンテン</t>
    </rPh>
    <rPh sb="10" eb="12">
      <t>ジカン</t>
    </rPh>
    <phoneticPr fontId="22"/>
  </si>
  <si>
    <t>第一計画期間</t>
    <rPh sb="0" eb="2">
      <t>ダイイチ</t>
    </rPh>
    <rPh sb="2" eb="4">
      <t>ケイカク</t>
    </rPh>
    <rPh sb="4" eb="6">
      <t>キカン</t>
    </rPh>
    <phoneticPr fontId="22"/>
  </si>
  <si>
    <t>第二計画期間</t>
    <rPh sb="0" eb="2">
      <t>ダイニ</t>
    </rPh>
    <rPh sb="2" eb="4">
      <t>ケイカク</t>
    </rPh>
    <rPh sb="4" eb="6">
      <t>キカン</t>
    </rPh>
    <phoneticPr fontId="22"/>
  </si>
  <si>
    <t>単位</t>
    <rPh sb="0" eb="2">
      <t>タンイ</t>
    </rPh>
    <phoneticPr fontId="28"/>
  </si>
  <si>
    <t>中圧ｶﾞｽ</t>
    <rPh sb="0" eb="1">
      <t>ナカ</t>
    </rPh>
    <rPh sb="1" eb="2">
      <t>アツ</t>
    </rPh>
    <phoneticPr fontId="22"/>
  </si>
  <si>
    <t>低圧ｶﾞｽ</t>
    <rPh sb="0" eb="1">
      <t>テイ</t>
    </rPh>
    <rPh sb="1" eb="2">
      <t>アツ</t>
    </rPh>
    <phoneticPr fontId="22"/>
  </si>
  <si>
    <t>蒸気</t>
    <rPh sb="0" eb="2">
      <t>ジョウキ</t>
    </rPh>
    <phoneticPr fontId="22"/>
  </si>
  <si>
    <t>冷水</t>
    <rPh sb="0" eb="2">
      <t>レイスイ</t>
    </rPh>
    <phoneticPr fontId="22"/>
  </si>
  <si>
    <t>温水</t>
    <rPh sb="0" eb="2">
      <t>オンスイ</t>
    </rPh>
    <phoneticPr fontId="22"/>
  </si>
  <si>
    <t>原油</t>
    <rPh sb="0" eb="2">
      <t>ゲンユ</t>
    </rPh>
    <phoneticPr fontId="26"/>
  </si>
  <si>
    <t>原油のうちｺﾝﾃﾞﾝｾｰﾄ</t>
    <rPh sb="0" eb="2">
      <t>ゲンユ</t>
    </rPh>
    <phoneticPr fontId="26"/>
  </si>
  <si>
    <t>揮発油（ガソリン）</t>
    <rPh sb="0" eb="3">
      <t>キハツユ</t>
    </rPh>
    <phoneticPr fontId="26"/>
  </si>
  <si>
    <t>ナフサ</t>
  </si>
  <si>
    <t>軽油</t>
    <rPh sb="0" eb="2">
      <t>ケイユ</t>
    </rPh>
    <phoneticPr fontId="26"/>
  </si>
  <si>
    <t>Ｂ・Ｃ重油</t>
  </si>
  <si>
    <t>石油アスファルト</t>
    <rPh sb="0" eb="2">
      <t>セキユ</t>
    </rPh>
    <phoneticPr fontId="26"/>
  </si>
  <si>
    <t>石油コークス</t>
    <rPh sb="0" eb="2">
      <t>セキユ</t>
    </rPh>
    <phoneticPr fontId="26"/>
  </si>
  <si>
    <t>石油系炭化水素ガス</t>
    <rPh sb="0" eb="3">
      <t>セキユケイ</t>
    </rPh>
    <rPh sb="3" eb="5">
      <t>タンカ</t>
    </rPh>
    <rPh sb="5" eb="7">
      <t>スイソ</t>
    </rPh>
    <phoneticPr fontId="26"/>
  </si>
  <si>
    <t>液化天然ガス（LNG)</t>
    <rPh sb="0" eb="2">
      <t>エキカ</t>
    </rPh>
    <rPh sb="2" eb="4">
      <t>テンネン</t>
    </rPh>
    <phoneticPr fontId="26"/>
  </si>
  <si>
    <t>その他可燃性天然ガス</t>
    <rPh sb="2" eb="3">
      <t>タ</t>
    </rPh>
    <rPh sb="3" eb="6">
      <t>カネンセイ</t>
    </rPh>
    <rPh sb="6" eb="8">
      <t>テンネン</t>
    </rPh>
    <phoneticPr fontId="26"/>
  </si>
  <si>
    <t>石炭（原料炭）</t>
  </si>
  <si>
    <t>石炭（一般炭）</t>
  </si>
  <si>
    <t>石炭（無煙炭）</t>
  </si>
  <si>
    <t>石炭コークス</t>
    <rPh sb="0" eb="2">
      <t>セキタン</t>
    </rPh>
    <phoneticPr fontId="26"/>
  </si>
  <si>
    <t>コールタール</t>
  </si>
  <si>
    <t>コークス炉ガス</t>
    <rPh sb="4" eb="5">
      <t>ロ</t>
    </rPh>
    <phoneticPr fontId="26"/>
  </si>
  <si>
    <t>高炉ガス</t>
    <rPh sb="0" eb="2">
      <t>コウロ</t>
    </rPh>
    <phoneticPr fontId="26"/>
  </si>
  <si>
    <t>転炉ガス</t>
    <rPh sb="0" eb="2">
      <t>テンロ</t>
    </rPh>
    <phoneticPr fontId="26"/>
  </si>
  <si>
    <t>ℓ</t>
  </si>
  <si>
    <t>kg</t>
  </si>
  <si>
    <t>種別</t>
    <rPh sb="0" eb="2">
      <t>シュベツ</t>
    </rPh>
    <phoneticPr fontId="28"/>
  </si>
  <si>
    <r>
      <t>k</t>
    </r>
    <r>
      <rPr>
        <sz val="9"/>
        <color indexed="8"/>
        <rFont val="ＭＳ Ｐゴシック"/>
        <family val="3"/>
        <charset val="128"/>
      </rPr>
      <t>Wh</t>
    </r>
    <phoneticPr fontId="22"/>
  </si>
  <si>
    <r>
      <t>m</t>
    </r>
    <r>
      <rPr>
        <vertAlign val="superscript"/>
        <sz val="9"/>
        <rFont val="ＭＳ Ｐゴシック"/>
        <family val="3"/>
        <charset val="128"/>
      </rPr>
      <t>3</t>
    </r>
    <phoneticPr fontId="22"/>
  </si>
  <si>
    <r>
      <t>m</t>
    </r>
    <r>
      <rPr>
        <sz val="9"/>
        <color indexed="8"/>
        <rFont val="ＭＳ Ｐゴシック"/>
        <family val="3"/>
        <charset val="128"/>
      </rPr>
      <t>3</t>
    </r>
    <phoneticPr fontId="22"/>
  </si>
  <si>
    <r>
      <t>k</t>
    </r>
    <r>
      <rPr>
        <sz val="9"/>
        <color indexed="8"/>
        <rFont val="ＭＳ Ｐゴシック"/>
        <family val="3"/>
        <charset val="128"/>
      </rPr>
      <t>g</t>
    </r>
    <phoneticPr fontId="22"/>
  </si>
  <si>
    <t>m3</t>
    <phoneticPr fontId="22"/>
  </si>
  <si>
    <t>ℓ</t>
    <phoneticPr fontId="22"/>
  </si>
  <si>
    <r>
      <t>M</t>
    </r>
    <r>
      <rPr>
        <sz val="9"/>
        <color indexed="8"/>
        <rFont val="ＭＳ Ｐゴシック"/>
        <family val="3"/>
        <charset val="128"/>
      </rPr>
      <t>J</t>
    </r>
    <phoneticPr fontId="22"/>
  </si>
  <si>
    <r>
      <t>N</t>
    </r>
    <r>
      <rPr>
        <sz val="9"/>
        <color indexed="8"/>
        <rFont val="ＭＳ Ｐゴシック"/>
        <family val="3"/>
        <charset val="128"/>
      </rPr>
      <t>m3</t>
    </r>
    <phoneticPr fontId="22"/>
  </si>
  <si>
    <t>電気</t>
    <phoneticPr fontId="22"/>
  </si>
  <si>
    <t>LPG(kg)</t>
    <phoneticPr fontId="22"/>
  </si>
  <si>
    <t>LPG(m3)</t>
    <phoneticPr fontId="22"/>
  </si>
  <si>
    <t>A重油</t>
    <phoneticPr fontId="22"/>
  </si>
  <si>
    <t>灯油</t>
    <phoneticPr fontId="22"/>
  </si>
  <si>
    <t>第二計画期間</t>
    <rPh sb="0" eb="2">
      <t>ダイニ</t>
    </rPh>
    <rPh sb="2" eb="4">
      <t>ケイカク</t>
    </rPh>
    <rPh sb="4" eb="6">
      <t>キカン</t>
    </rPh>
    <phoneticPr fontId="28"/>
  </si>
  <si>
    <t>排出係数</t>
    <rPh sb="0" eb="2">
      <t>ハイシュツ</t>
    </rPh>
    <rPh sb="2" eb="4">
      <t>ケイスウ</t>
    </rPh>
    <phoneticPr fontId="22"/>
  </si>
  <si>
    <t>新設</t>
    <rPh sb="0" eb="2">
      <t>シンセツ</t>
    </rPh>
    <phoneticPr fontId="22"/>
  </si>
  <si>
    <t>採用　排出係数</t>
    <rPh sb="0" eb="2">
      <t>サイヨウ</t>
    </rPh>
    <rPh sb="3" eb="5">
      <t>ハイシュツ</t>
    </rPh>
    <rPh sb="5" eb="7">
      <t>ケイスウ</t>
    </rPh>
    <phoneticPr fontId="22"/>
  </si>
  <si>
    <t>省エネ改修評価</t>
    <rPh sb="0" eb="1">
      <t>ショウ</t>
    </rPh>
    <rPh sb="3" eb="5">
      <t>カイシュウ</t>
    </rPh>
    <rPh sb="5" eb="7">
      <t>ヒョウカ</t>
    </rPh>
    <phoneticPr fontId="22"/>
  </si>
  <si>
    <t>%削減</t>
    <rPh sb="1" eb="3">
      <t>サクゲン</t>
    </rPh>
    <phoneticPr fontId="22"/>
  </si>
  <si>
    <t>CO2排出量原単位
〔kg-CO2/㎡・年]</t>
    <phoneticPr fontId="22"/>
  </si>
  <si>
    <t>kg-CO2/㎡・年</t>
    <rPh sb="9" eb="10">
      <t>ネン</t>
    </rPh>
    <phoneticPr fontId="22"/>
  </si>
  <si>
    <t>改修前</t>
    <rPh sb="0" eb="2">
      <t>カイシュウ</t>
    </rPh>
    <rPh sb="2" eb="3">
      <t>マエ</t>
    </rPh>
    <phoneticPr fontId="22"/>
  </si>
  <si>
    <t>B+</t>
  </si>
  <si>
    <t>テナント入居率補正</t>
    <rPh sb="4" eb="6">
      <t>ニュウキョ</t>
    </rPh>
    <rPh sb="6" eb="7">
      <t>リツ</t>
    </rPh>
    <rPh sb="7" eb="9">
      <t>ホセイ</t>
    </rPh>
    <phoneticPr fontId="22"/>
  </si>
  <si>
    <t>高効率パッケージ形空調機の導入</t>
    <rPh sb="0" eb="3">
      <t>コウコウリツ</t>
    </rPh>
    <rPh sb="8" eb="9">
      <t>カタチ</t>
    </rPh>
    <rPh sb="9" eb="12">
      <t>クウチョウキ</t>
    </rPh>
    <rPh sb="13" eb="15">
      <t>ドウニュウ</t>
    </rPh>
    <phoneticPr fontId="22"/>
  </si>
  <si>
    <t>B2-</t>
  </si>
  <si>
    <t>含まれる用途</t>
    <rPh sb="0" eb="1">
      <t>フク</t>
    </rPh>
    <rPh sb="4" eb="6">
      <t>ヨウト</t>
    </rPh>
    <phoneticPr fontId="22"/>
  </si>
  <si>
    <t>申請範囲の用途別床面積</t>
    <rPh sb="0" eb="2">
      <t>シンセイ</t>
    </rPh>
    <rPh sb="2" eb="4">
      <t>ハンイ</t>
    </rPh>
    <rPh sb="5" eb="7">
      <t>ヨウト</t>
    </rPh>
    <rPh sb="7" eb="8">
      <t>ベツ</t>
    </rPh>
    <rPh sb="8" eb="11">
      <t>ユカメンセキ</t>
    </rPh>
    <phoneticPr fontId="22"/>
  </si>
  <si>
    <t>CO2排出量 [t－CO2/年]</t>
    <rPh sb="3" eb="5">
      <t>ハイシュツ</t>
    </rPh>
    <rPh sb="5" eb="6">
      <t>リョウ</t>
    </rPh>
    <phoneticPr fontId="22"/>
  </si>
  <si>
    <t>※ 床面積は、各用途の共用部分を含んだ面積とし、複合用途の場合は共用部面積を専用部面積比で按分する。</t>
  </si>
  <si>
    <t>地球温暖化対策報告書の主たる用途</t>
    <rPh sb="0" eb="2">
      <t>チキュウ</t>
    </rPh>
    <rPh sb="2" eb="5">
      <t>オンダンカ</t>
    </rPh>
    <rPh sb="5" eb="7">
      <t>タイサク</t>
    </rPh>
    <rPh sb="7" eb="10">
      <t>ホウコクショ</t>
    </rPh>
    <rPh sb="11" eb="12">
      <t>シュ</t>
    </rPh>
    <rPh sb="14" eb="16">
      <t>ヨウト</t>
    </rPh>
    <phoneticPr fontId="22"/>
  </si>
  <si>
    <t>事務所</t>
    <rPh sb="0" eb="2">
      <t>ジム</t>
    </rPh>
    <rPh sb="2" eb="3">
      <t>ショ</t>
    </rPh>
    <phoneticPr fontId="22"/>
  </si>
  <si>
    <t>商業施設（物販）</t>
    <rPh sb="0" eb="2">
      <t>ショウギョウ</t>
    </rPh>
    <rPh sb="2" eb="4">
      <t>シセツ</t>
    </rPh>
    <rPh sb="5" eb="7">
      <t>ブッパン</t>
    </rPh>
    <phoneticPr fontId="22"/>
  </si>
  <si>
    <t>商業施設（飲食）</t>
    <rPh sb="0" eb="2">
      <t>ショウギョウ</t>
    </rPh>
    <rPh sb="2" eb="4">
      <t>シセツ</t>
    </rPh>
    <rPh sb="5" eb="7">
      <t>インショク</t>
    </rPh>
    <phoneticPr fontId="22"/>
  </si>
  <si>
    <t>工場</t>
    <rPh sb="0" eb="2">
      <t>コウジョウ</t>
    </rPh>
    <phoneticPr fontId="22"/>
  </si>
  <si>
    <t>複合施設</t>
    <rPh sb="0" eb="2">
      <t>フクゴウ</t>
    </rPh>
    <rPh sb="2" eb="4">
      <t>シセツ</t>
    </rPh>
    <phoneticPr fontId="22"/>
  </si>
  <si>
    <t>No.1</t>
    <phoneticPr fontId="22"/>
  </si>
  <si>
    <t>オフィス（テナント専有部）</t>
    <phoneticPr fontId="22"/>
  </si>
  <si>
    <t>オフィス（自社ビル）</t>
    <phoneticPr fontId="22"/>
  </si>
  <si>
    <t>テナントビル（オフィス系、小規模）</t>
    <phoneticPr fontId="22"/>
  </si>
  <si>
    <t>テナントビル（オフィス系、中規模）</t>
    <phoneticPr fontId="22"/>
  </si>
  <si>
    <t>テナントビル（オフィス系、準大規模）</t>
    <phoneticPr fontId="22"/>
  </si>
  <si>
    <t>テナントビル（商業複合系、小規模）</t>
    <phoneticPr fontId="22"/>
  </si>
  <si>
    <t>テナントビル（商業複合系、中規模）</t>
    <phoneticPr fontId="22"/>
  </si>
  <si>
    <t>テナントビル（商業複合系、準大規模）</t>
    <phoneticPr fontId="22"/>
  </si>
  <si>
    <t>物販店（コンビ二）</t>
    <rPh sb="0" eb="3">
      <t>ブッパンテン</t>
    </rPh>
    <rPh sb="7" eb="8">
      <t>ニ</t>
    </rPh>
    <phoneticPr fontId="22"/>
  </si>
  <si>
    <t>物販店（ドラッグストア）</t>
    <rPh sb="0" eb="3">
      <t>ブッパンテン</t>
    </rPh>
    <phoneticPr fontId="22"/>
  </si>
  <si>
    <t>物販店（総合スーパー・百貨店）</t>
    <rPh sb="0" eb="3">
      <t>ブッパンテン</t>
    </rPh>
    <phoneticPr fontId="22"/>
  </si>
  <si>
    <t>物販店（生鮮食品等）</t>
    <rPh sb="0" eb="3">
      <t>ブッパンテン</t>
    </rPh>
    <phoneticPr fontId="22"/>
  </si>
  <si>
    <t>物販店（食料品の製造小売）</t>
    <rPh sb="0" eb="3">
      <t>ブッパンテン</t>
    </rPh>
    <phoneticPr fontId="22"/>
  </si>
  <si>
    <t>物販店（服飾品）</t>
    <rPh sb="0" eb="3">
      <t>ブッパンテン</t>
    </rPh>
    <rPh sb="4" eb="6">
      <t>フクショク</t>
    </rPh>
    <rPh sb="6" eb="7">
      <t>シナ</t>
    </rPh>
    <phoneticPr fontId="22"/>
  </si>
  <si>
    <t>物販店（自動車（新車）小売）</t>
    <rPh sb="0" eb="3">
      <t>ブッパンテン</t>
    </rPh>
    <phoneticPr fontId="22"/>
  </si>
  <si>
    <t>飲食店（食堂・レストラン）</t>
    <rPh sb="0" eb="2">
      <t>インショク</t>
    </rPh>
    <rPh sb="2" eb="3">
      <t>テン</t>
    </rPh>
    <phoneticPr fontId="22"/>
  </si>
  <si>
    <t>飲食店（居酒屋・バー）</t>
    <rPh sb="0" eb="2">
      <t>インショク</t>
    </rPh>
    <rPh sb="2" eb="3">
      <t>テン</t>
    </rPh>
    <phoneticPr fontId="22"/>
  </si>
  <si>
    <t>飲食店（ハンバーガー）</t>
    <rPh sb="0" eb="2">
      <t>インショク</t>
    </rPh>
    <rPh sb="2" eb="3">
      <t>テン</t>
    </rPh>
    <phoneticPr fontId="22"/>
  </si>
  <si>
    <t>飲食店（喫茶）</t>
    <rPh sb="0" eb="2">
      <t>インショク</t>
    </rPh>
    <rPh sb="2" eb="3">
      <t>テン</t>
    </rPh>
    <rPh sb="4" eb="6">
      <t>キッサ</t>
    </rPh>
    <phoneticPr fontId="22"/>
  </si>
  <si>
    <t>飲食店（焼肉）</t>
    <rPh sb="0" eb="2">
      <t>インショク</t>
    </rPh>
    <rPh sb="2" eb="3">
      <t>テン</t>
    </rPh>
    <rPh sb="4" eb="6">
      <t>ヤキニク</t>
    </rPh>
    <phoneticPr fontId="22"/>
  </si>
  <si>
    <t>飲食店（中華料理・ラーメン）</t>
    <rPh sb="0" eb="2">
      <t>インショク</t>
    </rPh>
    <rPh sb="2" eb="3">
      <t>テン</t>
    </rPh>
    <phoneticPr fontId="22"/>
  </si>
  <si>
    <t>飲食店（その他）</t>
    <rPh sb="0" eb="2">
      <t>インショク</t>
    </rPh>
    <rPh sb="2" eb="3">
      <t>テン</t>
    </rPh>
    <rPh sb="6" eb="7">
      <t>ホカ</t>
    </rPh>
    <phoneticPr fontId="22"/>
  </si>
  <si>
    <t>A.熱源・熱搬送設備</t>
    <rPh sb="2" eb="4">
      <t>ネツゲン</t>
    </rPh>
    <rPh sb="5" eb="6">
      <t>ネツ</t>
    </rPh>
    <rPh sb="6" eb="8">
      <t>ハンソウ</t>
    </rPh>
    <rPh sb="8" eb="10">
      <t>セツビ</t>
    </rPh>
    <phoneticPr fontId="22"/>
  </si>
  <si>
    <t>B. 空調・換気設備</t>
    <rPh sb="3" eb="5">
      <t>クウチョウ</t>
    </rPh>
    <rPh sb="6" eb="8">
      <t>カンキ</t>
    </rPh>
    <rPh sb="8" eb="10">
      <t>セツビ</t>
    </rPh>
    <phoneticPr fontId="22"/>
  </si>
  <si>
    <t>C. 照明・電気設備</t>
    <rPh sb="3" eb="5">
      <t>ショウメイ</t>
    </rPh>
    <rPh sb="6" eb="8">
      <t>デンキ</t>
    </rPh>
    <rPh sb="8" eb="10">
      <t>セツビ</t>
    </rPh>
    <phoneticPr fontId="22"/>
  </si>
  <si>
    <t>D.その他</t>
    <rPh sb="4" eb="5">
      <t>ホカ</t>
    </rPh>
    <phoneticPr fontId="22"/>
  </si>
  <si>
    <t xml:space="preserve"> A-1</t>
    <phoneticPr fontId="22"/>
  </si>
  <si>
    <t xml:space="preserve"> A-2</t>
    <phoneticPr fontId="22"/>
  </si>
  <si>
    <t xml:space="preserve"> A-3</t>
    <phoneticPr fontId="22"/>
  </si>
  <si>
    <t xml:space="preserve"> A-4</t>
    <phoneticPr fontId="22"/>
  </si>
  <si>
    <t xml:space="preserve"> B-1</t>
    <phoneticPr fontId="22"/>
  </si>
  <si>
    <t xml:space="preserve"> B-2</t>
    <phoneticPr fontId="22"/>
  </si>
  <si>
    <t xml:space="preserve"> B-3</t>
    <phoneticPr fontId="22"/>
  </si>
  <si>
    <t xml:space="preserve"> B-4</t>
    <phoneticPr fontId="22"/>
  </si>
  <si>
    <t xml:space="preserve"> C-1</t>
    <phoneticPr fontId="22"/>
  </si>
  <si>
    <t xml:space="preserve"> C-2</t>
    <phoneticPr fontId="22"/>
  </si>
  <si>
    <t xml:space="preserve"> C-3</t>
    <phoneticPr fontId="22"/>
  </si>
  <si>
    <t xml:space="preserve"> C-4</t>
    <phoneticPr fontId="22"/>
  </si>
  <si>
    <t xml:space="preserve"> D-1</t>
    <phoneticPr fontId="22"/>
  </si>
  <si>
    <t xml:space="preserve"> D-2</t>
    <phoneticPr fontId="22"/>
  </si>
  <si>
    <t xml:space="preserve"> D-3</t>
    <phoneticPr fontId="22"/>
  </si>
  <si>
    <t xml:space="preserve"> D-4</t>
    <phoneticPr fontId="22"/>
  </si>
  <si>
    <t xml:space="preserve"> D-5</t>
    <phoneticPr fontId="22"/>
  </si>
  <si>
    <t xml:space="preserve"> D-6</t>
    <phoneticPr fontId="22"/>
  </si>
  <si>
    <t>削減対策項目</t>
    <rPh sb="0" eb="2">
      <t>サクゲン</t>
    </rPh>
    <rPh sb="2" eb="4">
      <t>タイサク</t>
    </rPh>
    <rPh sb="4" eb="6">
      <t>コウモク</t>
    </rPh>
    <phoneticPr fontId="22"/>
  </si>
  <si>
    <t>一次エネルギー消費原単位
[MJ/㎡・年]</t>
    <phoneticPr fontId="22"/>
  </si>
  <si>
    <r>
      <rPr>
        <b/>
        <sz val="9"/>
        <color indexed="8"/>
        <rFont val="ＭＳ Ｐゴシック"/>
        <family val="3"/>
        <charset val="128"/>
      </rPr>
      <t>共用部</t>
    </r>
    <r>
      <rPr>
        <sz val="9"/>
        <color indexed="8"/>
        <rFont val="ＭＳ Ｐゴシック"/>
        <family val="3"/>
        <charset val="128"/>
      </rPr>
      <t>：間引き率</t>
    </r>
    <rPh sb="0" eb="2">
      <t>キョウヨウ</t>
    </rPh>
    <rPh sb="2" eb="3">
      <t>ブ</t>
    </rPh>
    <rPh sb="4" eb="6">
      <t>マビ</t>
    </rPh>
    <rPh sb="7" eb="8">
      <t>リツ</t>
    </rPh>
    <phoneticPr fontId="22"/>
  </si>
  <si>
    <t>消灯時間</t>
    <rPh sb="0" eb="2">
      <t>ショウトウ</t>
    </rPh>
    <rPh sb="2" eb="4">
      <t>ジカン</t>
    </rPh>
    <phoneticPr fontId="22"/>
  </si>
  <si>
    <t>分</t>
    <rPh sb="0" eb="1">
      <t>フン</t>
    </rPh>
    <phoneticPr fontId="22"/>
  </si>
  <si>
    <t>電気</t>
    <rPh sb="0" eb="2">
      <t>デンキ</t>
    </rPh>
    <phoneticPr fontId="22"/>
  </si>
  <si>
    <t>空調用ポンプの省エネ制御の導入</t>
    <rPh sb="0" eb="3">
      <t>クウチョウヨウ</t>
    </rPh>
    <rPh sb="7" eb="8">
      <t>ショウ</t>
    </rPh>
    <rPh sb="10" eb="12">
      <t>セイギョ</t>
    </rPh>
    <rPh sb="13" eb="15">
      <t>ドウニュウ</t>
    </rPh>
    <phoneticPr fontId="22"/>
  </si>
  <si>
    <r>
      <rPr>
        <b/>
        <sz val="9"/>
        <color indexed="8"/>
        <rFont val="ＭＳ Ｐゴシック"/>
        <family val="3"/>
        <charset val="128"/>
      </rPr>
      <t>事務室</t>
    </r>
    <r>
      <rPr>
        <sz val="9"/>
        <color indexed="8"/>
        <rFont val="ＭＳ Ｐゴシック"/>
        <family val="3"/>
        <charset val="128"/>
      </rPr>
      <t>：間引き率</t>
    </r>
    <rPh sb="0" eb="3">
      <t>ジムシツ</t>
    </rPh>
    <rPh sb="4" eb="6">
      <t>マビ</t>
    </rPh>
    <rPh sb="7" eb="8">
      <t>リツ</t>
    </rPh>
    <phoneticPr fontId="22"/>
  </si>
  <si>
    <t>CO2削減量（参考）</t>
    <rPh sb="3" eb="5">
      <t>サクゲン</t>
    </rPh>
    <rPh sb="5" eb="6">
      <t>リョウ</t>
    </rPh>
    <rPh sb="7" eb="9">
      <t>サンコウ</t>
    </rPh>
    <phoneticPr fontId="22"/>
  </si>
  <si>
    <t>ベンチマーク</t>
    <phoneticPr fontId="22"/>
  </si>
  <si>
    <t>改修後</t>
    <rPh sb="0" eb="2">
      <t>カイシュウ</t>
    </rPh>
    <rPh sb="2" eb="3">
      <t>ゴ</t>
    </rPh>
    <phoneticPr fontId="22"/>
  </si>
  <si>
    <t>色欄については、文字又は数値を入力</t>
    <rPh sb="0" eb="1">
      <t>イロ</t>
    </rPh>
    <rPh sb="1" eb="2">
      <t>ラン</t>
    </rPh>
    <rPh sb="8" eb="10">
      <t>モジ</t>
    </rPh>
    <rPh sb="10" eb="11">
      <t>マタ</t>
    </rPh>
    <rPh sb="12" eb="14">
      <t>スウチ</t>
    </rPh>
    <rPh sb="15" eb="17">
      <t>ニュウリョク</t>
    </rPh>
    <phoneticPr fontId="24"/>
  </si>
  <si>
    <t>色欄については、任意記入とし、文字又は数値を入力</t>
    <rPh sb="0" eb="1">
      <t>イロ</t>
    </rPh>
    <rPh sb="1" eb="2">
      <t>ラン</t>
    </rPh>
    <rPh sb="8" eb="10">
      <t>ニンイ</t>
    </rPh>
    <rPh sb="15" eb="17">
      <t>モジ</t>
    </rPh>
    <rPh sb="17" eb="18">
      <t>マタ</t>
    </rPh>
    <rPh sb="19" eb="21">
      <t>スウチ</t>
    </rPh>
    <rPh sb="22" eb="24">
      <t>ニュウリョク</t>
    </rPh>
    <phoneticPr fontId="24"/>
  </si>
  <si>
    <t>色欄については、入力の間違いや未記入の状態などエラーを示す。</t>
    <rPh sb="0" eb="1">
      <t>イロ</t>
    </rPh>
    <rPh sb="1" eb="2">
      <t>ラン</t>
    </rPh>
    <rPh sb="8" eb="10">
      <t>ニュウリョク</t>
    </rPh>
    <rPh sb="11" eb="13">
      <t>マチガ</t>
    </rPh>
    <rPh sb="15" eb="18">
      <t>ミキニュウ</t>
    </rPh>
    <rPh sb="19" eb="21">
      <t>ジョウタイ</t>
    </rPh>
    <rPh sb="27" eb="28">
      <t>シメ</t>
    </rPh>
    <phoneticPr fontId="22"/>
  </si>
  <si>
    <t>C</t>
  </si>
  <si>
    <t>B1</t>
  </si>
  <si>
    <t>B2</t>
  </si>
  <si>
    <t>B2+</t>
  </si>
  <si>
    <t>A1-</t>
  </si>
  <si>
    <t>A1+</t>
  </si>
  <si>
    <t>A2</t>
  </si>
  <si>
    <t>A3-</t>
  </si>
  <si>
    <t>A3</t>
  </si>
  <si>
    <t>A3+</t>
  </si>
  <si>
    <t>A4</t>
  </si>
  <si>
    <t>原単位</t>
    <rPh sb="0" eb="3">
      <t>ゲンタンイ</t>
    </rPh>
    <phoneticPr fontId="22"/>
  </si>
  <si>
    <t>都市ガス</t>
    <rPh sb="0" eb="2">
      <t>トシ</t>
    </rPh>
    <phoneticPr fontId="22"/>
  </si>
  <si>
    <t>未計測除外</t>
    <rPh sb="0" eb="3">
      <t>ミケイソク</t>
    </rPh>
    <rPh sb="3" eb="5">
      <t>ジョガイ</t>
    </rPh>
    <phoneticPr fontId="22"/>
  </si>
  <si>
    <t>補正　足戻し</t>
    <rPh sb="0" eb="2">
      <t>ホセイ</t>
    </rPh>
    <rPh sb="3" eb="4">
      <t>タ</t>
    </rPh>
    <rPh sb="4" eb="5">
      <t>モド</t>
    </rPh>
    <phoneticPr fontId="22"/>
  </si>
  <si>
    <t>CO2排出量　</t>
    <rPh sb="3" eb="5">
      <t>ハイシュツ</t>
    </rPh>
    <rPh sb="5" eb="6">
      <t>リョウ</t>
    </rPh>
    <phoneticPr fontId="22"/>
  </si>
  <si>
    <t>一次エネルギー消費量</t>
    <rPh sb="0" eb="2">
      <t>イチジ</t>
    </rPh>
    <rPh sb="7" eb="10">
      <t>ショウヒリョウ</t>
    </rPh>
    <phoneticPr fontId="22"/>
  </si>
  <si>
    <t>エネルギー使用量　集計表</t>
    <rPh sb="5" eb="7">
      <t>シヨウ</t>
    </rPh>
    <rPh sb="7" eb="8">
      <t>リョウ</t>
    </rPh>
    <rPh sb="9" eb="11">
      <t>シュウケイ</t>
    </rPh>
    <rPh sb="11" eb="12">
      <t>ヒョウ</t>
    </rPh>
    <phoneticPr fontId="22"/>
  </si>
  <si>
    <t>ＣＯ２</t>
    <phoneticPr fontId="22"/>
  </si>
  <si>
    <t>削減量</t>
    <rPh sb="0" eb="2">
      <t>サクゲン</t>
    </rPh>
    <rPh sb="2" eb="3">
      <t>リョウ</t>
    </rPh>
    <phoneticPr fontId="22"/>
  </si>
  <si>
    <t>一次エネルギー消費量　集計表</t>
    <rPh sb="0" eb="2">
      <t>イチジ</t>
    </rPh>
    <rPh sb="7" eb="10">
      <t>ショウヒリョウ</t>
    </rPh>
    <rPh sb="11" eb="13">
      <t>シュウケイ</t>
    </rPh>
    <rPh sb="13" eb="14">
      <t>ヒョウ</t>
    </rPh>
    <phoneticPr fontId="22"/>
  </si>
  <si>
    <t>ベンチマーク評価</t>
    <rPh sb="6" eb="8">
      <t>ヒョウカ</t>
    </rPh>
    <phoneticPr fontId="22"/>
  </si>
  <si>
    <t>＊今回は、「用途別床面積」が必須入力項目となったため、不要。　</t>
    <rPh sb="1" eb="3">
      <t>コンカイ</t>
    </rPh>
    <rPh sb="6" eb="8">
      <t>ヨウト</t>
    </rPh>
    <rPh sb="8" eb="9">
      <t>ベツ</t>
    </rPh>
    <rPh sb="9" eb="12">
      <t>ユカメンセキ</t>
    </rPh>
    <rPh sb="14" eb="16">
      <t>ヒッス</t>
    </rPh>
    <rPh sb="16" eb="18">
      <t>ニュウリョク</t>
    </rPh>
    <rPh sb="18" eb="20">
      <t>コウモク</t>
    </rPh>
    <rPh sb="27" eb="29">
      <t>フヨウ</t>
    </rPh>
    <phoneticPr fontId="22"/>
  </si>
  <si>
    <t>採用デフォルト（全負荷相当運転時間）</t>
    <rPh sb="8" eb="9">
      <t>ゼン</t>
    </rPh>
    <rPh sb="9" eb="11">
      <t>フカ</t>
    </rPh>
    <rPh sb="11" eb="13">
      <t>ソウトウ</t>
    </rPh>
    <rPh sb="13" eb="15">
      <t>ウンテン</t>
    </rPh>
    <rPh sb="15" eb="17">
      <t>ジカン</t>
    </rPh>
    <phoneticPr fontId="22"/>
  </si>
  <si>
    <t>排出係数　及び　エネルギー消費量換算係数</t>
    <rPh sb="0" eb="2">
      <t>ハイシュツ</t>
    </rPh>
    <rPh sb="2" eb="4">
      <t>ケイスウ</t>
    </rPh>
    <rPh sb="5" eb="6">
      <t>オヨ</t>
    </rPh>
    <rPh sb="13" eb="16">
      <t>ショウヒリョウ</t>
    </rPh>
    <rPh sb="16" eb="18">
      <t>カンサン</t>
    </rPh>
    <rPh sb="18" eb="20">
      <t>ケイスウ</t>
    </rPh>
    <phoneticPr fontId="22"/>
  </si>
  <si>
    <t>ＢＭ区分</t>
    <rPh sb="2" eb="4">
      <t>クブン</t>
    </rPh>
    <phoneticPr fontId="22"/>
  </si>
  <si>
    <t>申請年度</t>
    <rPh sb="0" eb="2">
      <t>シンセイ</t>
    </rPh>
    <rPh sb="2" eb="4">
      <t>ネンド</t>
    </rPh>
    <phoneticPr fontId="22"/>
  </si>
  <si>
    <t>第二計画期間</t>
    <phoneticPr fontId="22"/>
  </si>
  <si>
    <t>エネルギー消費割合</t>
    <rPh sb="5" eb="7">
      <t>ショウヒ</t>
    </rPh>
    <rPh sb="7" eb="9">
      <t>ワリアイ</t>
    </rPh>
    <phoneticPr fontId="22"/>
  </si>
  <si>
    <t>空調</t>
    <rPh sb="0" eb="2">
      <t>クウチョウ</t>
    </rPh>
    <phoneticPr fontId="22"/>
  </si>
  <si>
    <t>照明</t>
    <rPh sb="0" eb="2">
      <t>ショウメイ</t>
    </rPh>
    <phoneticPr fontId="22"/>
  </si>
  <si>
    <t>事務室</t>
    <rPh sb="0" eb="2">
      <t>ジム</t>
    </rPh>
    <rPh sb="2" eb="3">
      <t>シツ</t>
    </rPh>
    <phoneticPr fontId="22"/>
  </si>
  <si>
    <t>共用部</t>
    <rPh sb="0" eb="2">
      <t>キョウヨウ</t>
    </rPh>
    <rPh sb="2" eb="3">
      <t>ブ</t>
    </rPh>
    <phoneticPr fontId="22"/>
  </si>
  <si>
    <t>空調設定温度を１℃緩和すると消費エネルギーが</t>
    <rPh sb="0" eb="2">
      <t>クウチョウ</t>
    </rPh>
    <rPh sb="2" eb="4">
      <t>セッテイ</t>
    </rPh>
    <rPh sb="4" eb="6">
      <t>オンド</t>
    </rPh>
    <rPh sb="9" eb="11">
      <t>カンワ</t>
    </rPh>
    <rPh sb="14" eb="16">
      <t>ショウヒ</t>
    </rPh>
    <phoneticPr fontId="22"/>
  </si>
  <si>
    <t>％削減</t>
    <rPh sb="1" eb="3">
      <t>サクゲン</t>
    </rPh>
    <phoneticPr fontId="22"/>
  </si>
  <si>
    <t>空調起動開始時刻を30分遅くすると、空調の消費エネルギーが</t>
    <rPh sb="0" eb="2">
      <t>クウチョウ</t>
    </rPh>
    <rPh sb="2" eb="4">
      <t>キドウ</t>
    </rPh>
    <rPh sb="4" eb="6">
      <t>カイシ</t>
    </rPh>
    <rPh sb="6" eb="8">
      <t>ジコク</t>
    </rPh>
    <rPh sb="11" eb="12">
      <t>フン</t>
    </rPh>
    <rPh sb="12" eb="13">
      <t>オソ</t>
    </rPh>
    <rPh sb="18" eb="20">
      <t>クウチョウ</t>
    </rPh>
    <rPh sb="21" eb="23">
      <t>ショウヒ</t>
    </rPh>
    <phoneticPr fontId="22"/>
  </si>
  <si>
    <t>60分間消灯することで、照明の消費エネルギーが</t>
    <rPh sb="2" eb="4">
      <t>フンカン</t>
    </rPh>
    <rPh sb="4" eb="6">
      <t>ショウトウ</t>
    </rPh>
    <rPh sb="12" eb="14">
      <t>ショウメイ</t>
    </rPh>
    <rPh sb="15" eb="17">
      <t>ショウヒ</t>
    </rPh>
    <phoneticPr fontId="22"/>
  </si>
  <si>
    <t>照度を100lx下げることで、照明の消費エネルギーが</t>
    <rPh sb="0" eb="2">
      <t>ショウド</t>
    </rPh>
    <rPh sb="8" eb="9">
      <t>サ</t>
    </rPh>
    <rPh sb="15" eb="17">
      <t>ショウメイ</t>
    </rPh>
    <rPh sb="18" eb="20">
      <t>ショウヒ</t>
    </rPh>
    <phoneticPr fontId="22"/>
  </si>
  <si>
    <t>運用改善目標</t>
    <rPh sb="0" eb="2">
      <t>ウンヨウ</t>
    </rPh>
    <rPh sb="2" eb="4">
      <t>カイゼン</t>
    </rPh>
    <rPh sb="4" eb="6">
      <t>モクヒョウ</t>
    </rPh>
    <phoneticPr fontId="22"/>
  </si>
  <si>
    <t>エネルギー使用量集計表</t>
    <rPh sb="5" eb="7">
      <t>シヨウ</t>
    </rPh>
    <rPh sb="7" eb="8">
      <t>リョウ</t>
    </rPh>
    <rPh sb="8" eb="10">
      <t>シュウケイ</t>
    </rPh>
    <rPh sb="10" eb="11">
      <t>ヒョウ</t>
    </rPh>
    <phoneticPr fontId="22"/>
  </si>
  <si>
    <t>一次エネルギー</t>
    <rPh sb="0" eb="2">
      <t>イチジ</t>
    </rPh>
    <phoneticPr fontId="22"/>
  </si>
  <si>
    <t>色欄については、文字又は数値を入力</t>
    <rPh sb="0" eb="1">
      <t>イロ</t>
    </rPh>
    <rPh sb="1" eb="2">
      <t>ラン</t>
    </rPh>
    <rPh sb="8" eb="10">
      <t>モジ</t>
    </rPh>
    <rPh sb="10" eb="11">
      <t>マタ</t>
    </rPh>
    <rPh sb="12" eb="14">
      <t>スウチ</t>
    </rPh>
    <rPh sb="15" eb="17">
      <t>ニュウリョク</t>
    </rPh>
    <phoneticPr fontId="22"/>
  </si>
  <si>
    <t>種別</t>
    <rPh sb="0" eb="2">
      <t>シュベツ</t>
    </rPh>
    <phoneticPr fontId="66"/>
  </si>
  <si>
    <t>電気</t>
    <rPh sb="0" eb="2">
      <t>デンキ</t>
    </rPh>
    <phoneticPr fontId="66"/>
  </si>
  <si>
    <t>色欄については、プルダウンメニューから選択</t>
    <rPh sb="0" eb="1">
      <t>イロ</t>
    </rPh>
    <rPh sb="1" eb="2">
      <t>ラン</t>
    </rPh>
    <rPh sb="19" eb="21">
      <t>センタク</t>
    </rPh>
    <phoneticPr fontId="22"/>
  </si>
  <si>
    <t>色欄については、任意記入とし、文字又は数値を入力</t>
    <rPh sb="0" eb="1">
      <t>イロ</t>
    </rPh>
    <rPh sb="1" eb="2">
      <t>ラン</t>
    </rPh>
    <rPh sb="8" eb="10">
      <t>ニンイ</t>
    </rPh>
    <rPh sb="15" eb="17">
      <t>モジ</t>
    </rPh>
    <rPh sb="17" eb="18">
      <t>マタ</t>
    </rPh>
    <rPh sb="19" eb="21">
      <t>スウチ</t>
    </rPh>
    <rPh sb="22" eb="24">
      <t>ニュウリョク</t>
    </rPh>
    <phoneticPr fontId="22"/>
  </si>
  <si>
    <t>平均原単位</t>
    <rPh sb="0" eb="2">
      <t>ヘイキン</t>
    </rPh>
    <rPh sb="2" eb="5">
      <t>ゲンタンイ</t>
    </rPh>
    <phoneticPr fontId="66"/>
  </si>
  <si>
    <t>空調</t>
    <rPh sb="0" eb="2">
      <t>クウチョウ</t>
    </rPh>
    <phoneticPr fontId="66"/>
  </si>
  <si>
    <t>照明</t>
    <rPh sb="0" eb="2">
      <t>ショウメイ</t>
    </rPh>
    <phoneticPr fontId="66"/>
  </si>
  <si>
    <t>建物概要</t>
    <rPh sb="0" eb="2">
      <t>タテモノ</t>
    </rPh>
    <rPh sb="2" eb="4">
      <t>ガイヨウ</t>
    </rPh>
    <phoneticPr fontId="22"/>
  </si>
  <si>
    <t>建物名</t>
    <rPh sb="0" eb="2">
      <t>タテモノ</t>
    </rPh>
    <rPh sb="2" eb="3">
      <t>メイ</t>
    </rPh>
    <phoneticPr fontId="22"/>
  </si>
  <si>
    <t>事業者名</t>
    <rPh sb="0" eb="3">
      <t>ジギョウシャ</t>
    </rPh>
    <rPh sb="3" eb="4">
      <t>メイ</t>
    </rPh>
    <phoneticPr fontId="66"/>
  </si>
  <si>
    <t>単位</t>
    <rPh sb="0" eb="2">
      <t>タンイ</t>
    </rPh>
    <phoneticPr fontId="66"/>
  </si>
  <si>
    <t>住　　所</t>
    <rPh sb="0" eb="1">
      <t>ジュウ</t>
    </rPh>
    <rPh sb="3" eb="4">
      <t>ショ</t>
    </rPh>
    <phoneticPr fontId="22"/>
  </si>
  <si>
    <t>竣工年月</t>
    <rPh sb="0" eb="2">
      <t>シュンコウ</t>
    </rPh>
    <rPh sb="2" eb="4">
      <t>ネンゲツ</t>
    </rPh>
    <phoneticPr fontId="22"/>
  </si>
  <si>
    <t>その他</t>
    <rPh sb="2" eb="3">
      <t>ホカ</t>
    </rPh>
    <phoneticPr fontId="66"/>
  </si>
  <si>
    <t>階　　数</t>
    <rPh sb="0" eb="1">
      <t>カイ</t>
    </rPh>
    <rPh sb="3" eb="4">
      <t>カズ</t>
    </rPh>
    <phoneticPr fontId="22"/>
  </si>
  <si>
    <t>■ベンチマーク評価</t>
    <rPh sb="7" eb="9">
      <t>ヒョウカ</t>
    </rPh>
    <phoneticPr fontId="66"/>
  </si>
  <si>
    <t>建物全体</t>
    <rPh sb="0" eb="2">
      <t>タテモノ</t>
    </rPh>
    <rPh sb="2" eb="4">
      <t>ゼンタイ</t>
    </rPh>
    <phoneticPr fontId="66"/>
  </si>
  <si>
    <t>商業施設（飲食）</t>
    <rPh sb="5" eb="7">
      <t>インショク</t>
    </rPh>
    <phoneticPr fontId="22"/>
  </si>
  <si>
    <t>A1</t>
    <phoneticPr fontId="22"/>
  </si>
  <si>
    <t>宿泊施設</t>
    <rPh sb="0" eb="2">
      <t>シュクハク</t>
    </rPh>
    <rPh sb="2" eb="4">
      <t>シセツ</t>
    </rPh>
    <phoneticPr fontId="22"/>
  </si>
  <si>
    <t>■改修範囲</t>
    <rPh sb="1" eb="3">
      <t>カイシュウ</t>
    </rPh>
    <rPh sb="3" eb="5">
      <t>ハンイ</t>
    </rPh>
    <phoneticPr fontId="66"/>
  </si>
  <si>
    <t>教育施設</t>
    <rPh sb="0" eb="2">
      <t>キョウイク</t>
    </rPh>
    <rPh sb="2" eb="4">
      <t>シセツ</t>
    </rPh>
    <phoneticPr fontId="22"/>
  </si>
  <si>
    <t>A2-</t>
    <phoneticPr fontId="22"/>
  </si>
  <si>
    <t>医療施設</t>
    <rPh sb="0" eb="2">
      <t>イリョウ</t>
    </rPh>
    <rPh sb="2" eb="4">
      <t>シセツ</t>
    </rPh>
    <phoneticPr fontId="22"/>
  </si>
  <si>
    <t>文化・娯楽施設</t>
    <rPh sb="0" eb="2">
      <t>ブンカ</t>
    </rPh>
    <rPh sb="3" eb="5">
      <t>ゴラク</t>
    </rPh>
    <rPh sb="5" eb="7">
      <t>シセツ</t>
    </rPh>
    <phoneticPr fontId="22"/>
  </si>
  <si>
    <t>■パッケージ形空調機　種別</t>
    <rPh sb="6" eb="7">
      <t>ケイ</t>
    </rPh>
    <rPh sb="7" eb="10">
      <t>クウチョウキ</t>
    </rPh>
    <rPh sb="11" eb="13">
      <t>シュベツ</t>
    </rPh>
    <phoneticPr fontId="66"/>
  </si>
  <si>
    <t>A2+</t>
    <phoneticPr fontId="22"/>
  </si>
  <si>
    <t>その他</t>
    <rPh sb="2" eb="3">
      <t>タ</t>
    </rPh>
    <phoneticPr fontId="22"/>
  </si>
  <si>
    <t>電気式EHP</t>
    <phoneticPr fontId="66"/>
  </si>
  <si>
    <t>ｶﾞｽｴﾝｼﾞﾝﾋｰﾄﾎﾟﾝﾌﾟ式GHP</t>
    <phoneticPr fontId="66"/>
  </si>
  <si>
    <t>☆ピクトグラム　表示</t>
    <rPh sb="8" eb="10">
      <t>ヒョウジ</t>
    </rPh>
    <phoneticPr fontId="66"/>
  </si>
  <si>
    <t>星の数</t>
    <rPh sb="0" eb="1">
      <t>ホシ</t>
    </rPh>
    <rPh sb="2" eb="3">
      <t>カズ</t>
    </rPh>
    <phoneticPr fontId="66"/>
  </si>
  <si>
    <t>　割合</t>
    <rPh sb="1" eb="3">
      <t>ワリアイ</t>
    </rPh>
    <phoneticPr fontId="66"/>
  </si>
  <si>
    <t>制御</t>
    <rPh sb="0" eb="2">
      <t>セイギョ</t>
    </rPh>
    <phoneticPr fontId="66"/>
  </si>
  <si>
    <t>リンク貼付け</t>
    <rPh sb="3" eb="4">
      <t>ハ</t>
    </rPh>
    <rPh sb="4" eb="5">
      <t>ツ</t>
    </rPh>
    <phoneticPr fontId="66"/>
  </si>
  <si>
    <t>テキスト</t>
    <phoneticPr fontId="66"/>
  </si>
  <si>
    <t>-</t>
    <phoneticPr fontId="66"/>
  </si>
  <si>
    <t>省エネ改修概要</t>
    <rPh sb="0" eb="1">
      <t>ショウ</t>
    </rPh>
    <rPh sb="3" eb="5">
      <t>カイシュウ</t>
    </rPh>
    <rPh sb="5" eb="7">
      <t>ガイヨウ</t>
    </rPh>
    <phoneticPr fontId="66"/>
  </si>
  <si>
    <t>割合10</t>
    <rPh sb="0" eb="2">
      <t>ワリアイ</t>
    </rPh>
    <phoneticPr fontId="66"/>
  </si>
  <si>
    <t>割合20</t>
    <rPh sb="0" eb="2">
      <t>ワリアイ</t>
    </rPh>
    <phoneticPr fontId="66"/>
  </si>
  <si>
    <t>割合30</t>
    <rPh sb="0" eb="2">
      <t>ワリアイ</t>
    </rPh>
    <phoneticPr fontId="66"/>
  </si>
  <si>
    <t>割合40</t>
    <rPh sb="0" eb="2">
      <t>ワリアイ</t>
    </rPh>
    <phoneticPr fontId="66"/>
  </si>
  <si>
    <t>割合50</t>
    <rPh sb="0" eb="2">
      <t>ワリアイ</t>
    </rPh>
    <phoneticPr fontId="66"/>
  </si>
  <si>
    <t>割合60</t>
    <rPh sb="0" eb="2">
      <t>ワリアイ</t>
    </rPh>
    <phoneticPr fontId="66"/>
  </si>
  <si>
    <t>割合70</t>
    <rPh sb="0" eb="2">
      <t>ワリアイ</t>
    </rPh>
    <phoneticPr fontId="66"/>
  </si>
  <si>
    <t>割合80</t>
    <rPh sb="0" eb="2">
      <t>ワリアイ</t>
    </rPh>
    <phoneticPr fontId="66"/>
  </si>
  <si>
    <t>割合90</t>
    <rPh sb="0" eb="2">
      <t>ワリアイ</t>
    </rPh>
    <phoneticPr fontId="66"/>
  </si>
  <si>
    <t>割合100</t>
    <rPh sb="0" eb="2">
      <t>ワリアイ</t>
    </rPh>
    <phoneticPr fontId="66"/>
  </si>
  <si>
    <t>工事予定年月</t>
    <rPh sb="0" eb="2">
      <t>コウジ</t>
    </rPh>
    <rPh sb="2" eb="4">
      <t>ヨテイ</t>
    </rPh>
    <rPh sb="4" eb="6">
      <t>ネンゲツ</t>
    </rPh>
    <phoneticPr fontId="66"/>
  </si>
  <si>
    <t>←西暦/月で記入</t>
    <rPh sb="1" eb="3">
      <t>セイレキ</t>
    </rPh>
    <rPh sb="4" eb="5">
      <t>ツキ</t>
    </rPh>
    <rPh sb="6" eb="8">
      <t>キニュウ</t>
    </rPh>
    <phoneticPr fontId="66"/>
  </si>
  <si>
    <t>10%</t>
    <phoneticPr fontId="66"/>
  </si>
  <si>
    <t>20%</t>
    <phoneticPr fontId="66"/>
  </si>
  <si>
    <t>30%</t>
  </si>
  <si>
    <t>40%</t>
  </si>
  <si>
    <t>50%</t>
  </si>
  <si>
    <t>60%</t>
  </si>
  <si>
    <t>70%</t>
  </si>
  <si>
    <t>80%</t>
  </si>
  <si>
    <t>90%</t>
  </si>
  <si>
    <t>100%</t>
  </si>
  <si>
    <t>削減効果の表示</t>
    <rPh sb="0" eb="2">
      <t>サクゲン</t>
    </rPh>
    <rPh sb="2" eb="4">
      <t>コウカ</t>
    </rPh>
    <rPh sb="5" eb="7">
      <t>ヒョウジ</t>
    </rPh>
    <phoneticPr fontId="66"/>
  </si>
  <si>
    <t>電力</t>
    <rPh sb="0" eb="2">
      <t>デンリョク</t>
    </rPh>
    <phoneticPr fontId="66"/>
  </si>
  <si>
    <t>○</t>
    <phoneticPr fontId="66"/>
  </si>
  <si>
    <t>都市ガス</t>
    <rPh sb="0" eb="2">
      <t>トシ</t>
    </rPh>
    <phoneticPr fontId="66"/>
  </si>
  <si>
    <t>省エネ性能</t>
    <rPh sb="0" eb="1">
      <t>ショウ</t>
    </rPh>
    <rPh sb="3" eb="5">
      <t>セイノウ</t>
    </rPh>
    <phoneticPr fontId="66"/>
  </si>
  <si>
    <t>*改修後又は既存の省エネ性能を範囲の合計が100%となるように入力する。</t>
    <rPh sb="1" eb="3">
      <t>カイシュウ</t>
    </rPh>
    <rPh sb="3" eb="4">
      <t>ゴ</t>
    </rPh>
    <rPh sb="4" eb="5">
      <t>マタ</t>
    </rPh>
    <rPh sb="6" eb="8">
      <t>キソン</t>
    </rPh>
    <rPh sb="9" eb="10">
      <t>ショウ</t>
    </rPh>
    <rPh sb="12" eb="14">
      <t>セイノウ</t>
    </rPh>
    <rPh sb="15" eb="17">
      <t>ハンイ</t>
    </rPh>
    <rPh sb="18" eb="20">
      <t>ゴウケイ</t>
    </rPh>
    <rPh sb="31" eb="33">
      <t>ニュウリョク</t>
    </rPh>
    <phoneticPr fontId="66"/>
  </si>
  <si>
    <t>空調性能</t>
    <rPh sb="0" eb="2">
      <t>クウチョウ</t>
    </rPh>
    <rPh sb="2" eb="4">
      <t>セイノウ</t>
    </rPh>
    <phoneticPr fontId="66"/>
  </si>
  <si>
    <t>効率グレード</t>
    <rPh sb="0" eb="2">
      <t>コウリツ</t>
    </rPh>
    <phoneticPr fontId="66"/>
  </si>
  <si>
    <t>※ 効率グレードは、Ａ：高効率形、Ｂ：標準形（トップランナー基準適合品）、Ｃ：それ以下の効率 とする</t>
    <rPh sb="2" eb="4">
      <t>コウリツ</t>
    </rPh>
    <rPh sb="12" eb="16">
      <t>コウコウリツガタ</t>
    </rPh>
    <rPh sb="19" eb="21">
      <t>ヒョウジュン</t>
    </rPh>
    <rPh sb="21" eb="22">
      <t>カタチ</t>
    </rPh>
    <rPh sb="32" eb="34">
      <t>テキゴウ</t>
    </rPh>
    <rPh sb="34" eb="35">
      <t>ヒン</t>
    </rPh>
    <rPh sb="41" eb="43">
      <t>イカ</t>
    </rPh>
    <rPh sb="44" eb="46">
      <t>コウリツ</t>
    </rPh>
    <phoneticPr fontId="66"/>
  </si>
  <si>
    <t>全熱交換器の導入</t>
    <rPh sb="0" eb="1">
      <t>ゼン</t>
    </rPh>
    <rPh sb="1" eb="2">
      <t>ネツ</t>
    </rPh>
    <rPh sb="2" eb="4">
      <t>コウカン</t>
    </rPh>
    <rPh sb="4" eb="5">
      <t>ウツワ</t>
    </rPh>
    <rPh sb="6" eb="8">
      <t>ドウニュウ</t>
    </rPh>
    <phoneticPr fontId="66"/>
  </si>
  <si>
    <t>高輝度型誘導灯の導入</t>
    <rPh sb="0" eb="3">
      <t>コウキド</t>
    </rPh>
    <rPh sb="3" eb="4">
      <t>ガタ</t>
    </rPh>
    <rPh sb="4" eb="6">
      <t>ユウドウ</t>
    </rPh>
    <rPh sb="6" eb="7">
      <t>トウ</t>
    </rPh>
    <rPh sb="8" eb="10">
      <t>ドウニュウ</t>
    </rPh>
    <phoneticPr fontId="66"/>
  </si>
  <si>
    <t>高効率変圧器の導入</t>
    <rPh sb="0" eb="3">
      <t>コウコウリツ</t>
    </rPh>
    <rPh sb="3" eb="6">
      <t>ヘンアツキ</t>
    </rPh>
    <rPh sb="7" eb="9">
      <t>ドウニュウ</t>
    </rPh>
    <phoneticPr fontId="66"/>
  </si>
  <si>
    <t>エレベーターの省エネ制御の導入</t>
    <rPh sb="7" eb="8">
      <t>ショウ</t>
    </rPh>
    <rPh sb="10" eb="12">
      <t>セイギョ</t>
    </rPh>
    <rPh sb="13" eb="15">
      <t>ドウニュウ</t>
    </rPh>
    <phoneticPr fontId="66"/>
  </si>
  <si>
    <t>照明性能</t>
    <rPh sb="0" eb="2">
      <t>ショウメイ</t>
    </rPh>
    <rPh sb="2" eb="4">
      <t>セイノウ</t>
    </rPh>
    <phoneticPr fontId="66"/>
  </si>
  <si>
    <t>☆削減効果の表示</t>
    <rPh sb="1" eb="3">
      <t>サクゲン</t>
    </rPh>
    <rPh sb="3" eb="5">
      <t>コウカ</t>
    </rPh>
    <rPh sb="6" eb="8">
      <t>ヒョウジ</t>
    </rPh>
    <phoneticPr fontId="66"/>
  </si>
  <si>
    <t>ランプ種類</t>
    <rPh sb="3" eb="5">
      <t>シュルイ</t>
    </rPh>
    <phoneticPr fontId="66"/>
  </si>
  <si>
    <t>照明制御</t>
    <rPh sb="0" eb="2">
      <t>ショウメイ</t>
    </rPh>
    <rPh sb="2" eb="4">
      <t>セイギョ</t>
    </rPh>
    <phoneticPr fontId="66"/>
  </si>
  <si>
    <t>※ 照明制御は、初期照度補正制御、昼光利用制御、人感センサーによる在室検知制御のいずれかとする</t>
    <rPh sb="2" eb="4">
      <t>ショウメイ</t>
    </rPh>
    <rPh sb="4" eb="6">
      <t>セイギョ</t>
    </rPh>
    <rPh sb="8" eb="10">
      <t>ショキ</t>
    </rPh>
    <rPh sb="10" eb="12">
      <t>ショウド</t>
    </rPh>
    <rPh sb="12" eb="14">
      <t>ホセイ</t>
    </rPh>
    <rPh sb="14" eb="16">
      <t>セイギョ</t>
    </rPh>
    <rPh sb="17" eb="18">
      <t>チュウ</t>
    </rPh>
    <rPh sb="18" eb="19">
      <t>ヒカリ</t>
    </rPh>
    <rPh sb="19" eb="21">
      <t>リヨウ</t>
    </rPh>
    <rPh sb="21" eb="23">
      <t>セイギョ</t>
    </rPh>
    <rPh sb="24" eb="25">
      <t>ジン</t>
    </rPh>
    <rPh sb="25" eb="26">
      <t>カン</t>
    </rPh>
    <rPh sb="33" eb="35">
      <t>ザイシツ</t>
    </rPh>
    <rPh sb="35" eb="37">
      <t>ケンチ</t>
    </rPh>
    <rPh sb="37" eb="39">
      <t>セイギョ</t>
    </rPh>
    <phoneticPr fontId="66"/>
  </si>
  <si>
    <t>ラベリング</t>
    <phoneticPr fontId="66"/>
  </si>
  <si>
    <t>Eマーク</t>
    <phoneticPr fontId="66"/>
  </si>
  <si>
    <t>認定</t>
    <rPh sb="0" eb="2">
      <t>ニンテイ</t>
    </rPh>
    <phoneticPr fontId="66"/>
  </si>
  <si>
    <t>ＢＥＬＳラベル</t>
    <phoneticPr fontId="66"/>
  </si>
  <si>
    <t>CASBEE</t>
    <phoneticPr fontId="66"/>
  </si>
  <si>
    <t>新築</t>
    <rPh sb="0" eb="2">
      <t>シンチク</t>
    </rPh>
    <phoneticPr fontId="66"/>
  </si>
  <si>
    <t>★★★★</t>
    <phoneticPr fontId="66"/>
  </si>
  <si>
    <t>★★★</t>
    <phoneticPr fontId="66"/>
  </si>
  <si>
    <t>★★</t>
    <phoneticPr fontId="66"/>
  </si>
  <si>
    <t>★</t>
    <phoneticPr fontId="66"/>
  </si>
  <si>
    <t>ランクS：★★★★★</t>
    <phoneticPr fontId="66"/>
  </si>
  <si>
    <t>ランクA：★★★★</t>
    <phoneticPr fontId="66"/>
  </si>
  <si>
    <t>ランクB+：★★★</t>
    <phoneticPr fontId="66"/>
  </si>
  <si>
    <t>ランクB-：★★</t>
    <phoneticPr fontId="66"/>
  </si>
  <si>
    <t>ランクC：★</t>
    <phoneticPr fontId="66"/>
  </si>
  <si>
    <t>BELS★★★★</t>
    <phoneticPr fontId="66"/>
  </si>
  <si>
    <t>BELS★★★</t>
    <phoneticPr fontId="66"/>
  </si>
  <si>
    <t>BELS★★</t>
    <phoneticPr fontId="66"/>
  </si>
  <si>
    <t>BELS★</t>
    <phoneticPr fontId="66"/>
  </si>
  <si>
    <t>ランクS_★★★★★</t>
    <phoneticPr fontId="66"/>
  </si>
  <si>
    <t>ランクA_★★★★</t>
    <phoneticPr fontId="66"/>
  </si>
  <si>
    <t>ランクB__★★★</t>
    <phoneticPr fontId="66"/>
  </si>
  <si>
    <t>ランクB__★★</t>
    <phoneticPr fontId="66"/>
  </si>
  <si>
    <t>ランクC_★</t>
    <phoneticPr fontId="66"/>
  </si>
  <si>
    <t>備考</t>
    <rPh sb="0" eb="2">
      <t>ビコウ</t>
    </rPh>
    <phoneticPr fontId="66"/>
  </si>
  <si>
    <t>ラベリング2</t>
  </si>
  <si>
    <t>ラベリング3</t>
  </si>
  <si>
    <t>既存</t>
    <rPh sb="0" eb="2">
      <t>キソン</t>
    </rPh>
    <phoneticPr fontId="66"/>
  </si>
  <si>
    <t>改修</t>
    <rPh sb="0" eb="2">
      <t>カイシュウ</t>
    </rPh>
    <phoneticPr fontId="66"/>
  </si>
  <si>
    <t>不動産</t>
    <rPh sb="0" eb="3">
      <t>フドウサン</t>
    </rPh>
    <phoneticPr fontId="66"/>
  </si>
  <si>
    <t>床面積（合計）</t>
    <rPh sb="0" eb="1">
      <t>ユカ</t>
    </rPh>
    <rPh sb="1" eb="3">
      <t>メンセキ</t>
    </rPh>
    <rPh sb="4" eb="6">
      <t>ゴウケイ</t>
    </rPh>
    <phoneticPr fontId="66"/>
  </si>
  <si>
    <t>■大分類</t>
    <rPh sb="1" eb="4">
      <t>ダイブンルイ</t>
    </rPh>
    <phoneticPr fontId="66"/>
  </si>
  <si>
    <t>オフィス</t>
    <phoneticPr fontId="66"/>
  </si>
  <si>
    <t>物販店</t>
    <rPh sb="0" eb="3">
      <t>ブッパンテン</t>
    </rPh>
    <phoneticPr fontId="66"/>
  </si>
  <si>
    <t>飲食店</t>
    <rPh sb="0" eb="2">
      <t>インショク</t>
    </rPh>
    <rPh sb="2" eb="3">
      <t>テン</t>
    </rPh>
    <phoneticPr fontId="66"/>
  </si>
  <si>
    <t>No</t>
    <phoneticPr fontId="66"/>
  </si>
  <si>
    <t>名称</t>
    <rPh sb="0" eb="2">
      <t>メイショウ</t>
    </rPh>
    <phoneticPr fontId="66"/>
  </si>
  <si>
    <t>(テナント専有部)</t>
    <rPh sb="5" eb="7">
      <t>センユウ</t>
    </rPh>
    <rPh sb="7" eb="8">
      <t>ブ</t>
    </rPh>
    <phoneticPr fontId="66"/>
  </si>
  <si>
    <t>平均原単位(kg-CO2/㎡・年）</t>
    <rPh sb="0" eb="2">
      <t>ヘイキン</t>
    </rPh>
    <rPh sb="2" eb="5">
      <t>ゲンタンイ</t>
    </rPh>
    <rPh sb="15" eb="16">
      <t>ネン</t>
    </rPh>
    <phoneticPr fontId="66"/>
  </si>
  <si>
    <t>(コンビ二)</t>
    <rPh sb="4" eb="5">
      <t>ニ</t>
    </rPh>
    <phoneticPr fontId="66"/>
  </si>
  <si>
    <t>(食堂・レストラン)</t>
    <rPh sb="1" eb="3">
      <t>ショクドウ</t>
    </rPh>
    <phoneticPr fontId="66"/>
  </si>
  <si>
    <t>(旅館・ホテル)</t>
    <rPh sb="1" eb="3">
      <t>リョカン</t>
    </rPh>
    <phoneticPr fontId="66"/>
  </si>
  <si>
    <t>(自社ビル)</t>
    <rPh sb="1" eb="3">
      <t>ジシャ</t>
    </rPh>
    <phoneticPr fontId="66"/>
  </si>
  <si>
    <t>(居酒屋・バー)</t>
    <rPh sb="1" eb="4">
      <t>イザカヤ</t>
    </rPh>
    <phoneticPr fontId="66"/>
  </si>
  <si>
    <t>(学校・教育施設)</t>
    <rPh sb="1" eb="3">
      <t>ガッコウ</t>
    </rPh>
    <rPh sb="4" eb="6">
      <t>キョウイク</t>
    </rPh>
    <rPh sb="6" eb="8">
      <t>シセツ</t>
    </rPh>
    <phoneticPr fontId="66"/>
  </si>
  <si>
    <t>(総合スーパー・百貨店)</t>
    <rPh sb="1" eb="3">
      <t>ソウゴウ</t>
    </rPh>
    <rPh sb="8" eb="11">
      <t>ヒャッカテン</t>
    </rPh>
    <phoneticPr fontId="66"/>
  </si>
  <si>
    <t>(病院・診療所)</t>
    <rPh sb="1" eb="3">
      <t>ビョウイン</t>
    </rPh>
    <rPh sb="4" eb="6">
      <t>シンリョウ</t>
    </rPh>
    <rPh sb="6" eb="7">
      <t>ショ</t>
    </rPh>
    <phoneticPr fontId="66"/>
  </si>
  <si>
    <t>(生鮮食品等)</t>
    <rPh sb="1" eb="3">
      <t>セイセン</t>
    </rPh>
    <rPh sb="3" eb="5">
      <t>ショクヒン</t>
    </rPh>
    <rPh sb="5" eb="6">
      <t>トウ</t>
    </rPh>
    <phoneticPr fontId="66"/>
  </si>
  <si>
    <t>(喫茶)</t>
    <rPh sb="1" eb="3">
      <t>キッサ</t>
    </rPh>
    <phoneticPr fontId="66"/>
  </si>
  <si>
    <t>(保育所)</t>
    <rPh sb="1" eb="3">
      <t>ホイク</t>
    </rPh>
    <rPh sb="3" eb="4">
      <t>ショ</t>
    </rPh>
    <phoneticPr fontId="66"/>
  </si>
  <si>
    <t>(食料品の製造小売)</t>
    <rPh sb="1" eb="4">
      <t>ショクリョウヒン</t>
    </rPh>
    <rPh sb="5" eb="7">
      <t>セイゾウ</t>
    </rPh>
    <rPh sb="7" eb="9">
      <t>コウリ</t>
    </rPh>
    <phoneticPr fontId="66"/>
  </si>
  <si>
    <t>(焼肉)</t>
    <rPh sb="1" eb="3">
      <t>ヤキニク</t>
    </rPh>
    <phoneticPr fontId="66"/>
  </si>
  <si>
    <t>(保険・介護施設)</t>
    <rPh sb="1" eb="3">
      <t>ホケン</t>
    </rPh>
    <rPh sb="4" eb="6">
      <t>カイゴ</t>
    </rPh>
    <rPh sb="6" eb="8">
      <t>シセツ</t>
    </rPh>
    <phoneticPr fontId="66"/>
  </si>
  <si>
    <t>(服飾品)</t>
    <rPh sb="1" eb="3">
      <t>フクショク</t>
    </rPh>
    <rPh sb="3" eb="4">
      <t>シナ</t>
    </rPh>
    <phoneticPr fontId="66"/>
  </si>
  <si>
    <t>(中華料理・ラーメン)</t>
    <rPh sb="1" eb="3">
      <t>チュウカ</t>
    </rPh>
    <rPh sb="3" eb="5">
      <t>リョウリ</t>
    </rPh>
    <phoneticPr fontId="66"/>
  </si>
  <si>
    <t>(フィットネス施設)</t>
    <rPh sb="7" eb="9">
      <t>シセツ</t>
    </rPh>
    <phoneticPr fontId="66"/>
  </si>
  <si>
    <t>(自動車（新車）小売)</t>
    <rPh sb="1" eb="4">
      <t>ジドウシャ</t>
    </rPh>
    <rPh sb="5" eb="7">
      <t>シンシャ</t>
    </rPh>
    <rPh sb="8" eb="10">
      <t>コウリ</t>
    </rPh>
    <phoneticPr fontId="66"/>
  </si>
  <si>
    <t>(その他)</t>
    <rPh sb="3" eb="4">
      <t>ホカ</t>
    </rPh>
    <phoneticPr fontId="66"/>
  </si>
  <si>
    <t>(パチンコ店舗)</t>
    <rPh sb="5" eb="7">
      <t>テンポ</t>
    </rPh>
    <phoneticPr fontId="66"/>
  </si>
  <si>
    <t>(カラオケボックス店舗)</t>
    <rPh sb="9" eb="11">
      <t>テンポ</t>
    </rPh>
    <phoneticPr fontId="66"/>
  </si>
  <si>
    <t>(図書館)</t>
    <rPh sb="1" eb="4">
      <t>トショカン</t>
    </rPh>
    <phoneticPr fontId="66"/>
  </si>
  <si>
    <t>(博物館・美術館)</t>
    <rPh sb="1" eb="4">
      <t>ハクブツカン</t>
    </rPh>
    <rPh sb="5" eb="8">
      <t>ビジュツカン</t>
    </rPh>
    <phoneticPr fontId="66"/>
  </si>
  <si>
    <t>(区市町村庁舎等)</t>
    <rPh sb="1" eb="2">
      <t>ク</t>
    </rPh>
    <rPh sb="2" eb="5">
      <t>シチョウソン</t>
    </rPh>
    <rPh sb="5" eb="7">
      <t>チョウシャ</t>
    </rPh>
    <rPh sb="7" eb="8">
      <t>トウ</t>
    </rPh>
    <phoneticPr fontId="66"/>
  </si>
  <si>
    <t>駐車場</t>
    <rPh sb="0" eb="2">
      <t>チュウシャ</t>
    </rPh>
    <rPh sb="2" eb="3">
      <t>ジョウ</t>
    </rPh>
    <phoneticPr fontId="66"/>
  </si>
  <si>
    <t>データセンター</t>
    <phoneticPr fontId="66"/>
  </si>
  <si>
    <t>ベンチマーク区分</t>
    <rPh sb="6" eb="8">
      <t>クブン</t>
    </rPh>
    <phoneticPr fontId="64"/>
  </si>
  <si>
    <t>自社ビル面積</t>
    <rPh sb="0" eb="2">
      <t>ジシャ</t>
    </rPh>
    <rPh sb="4" eb="6">
      <t>メンセキ</t>
    </rPh>
    <phoneticPr fontId="64"/>
  </si>
  <si>
    <t>規模判定</t>
    <rPh sb="0" eb="2">
      <t>キボ</t>
    </rPh>
    <rPh sb="2" eb="4">
      <t>ハンテイ</t>
    </rPh>
    <phoneticPr fontId="64"/>
  </si>
  <si>
    <t>用途判定</t>
    <rPh sb="0" eb="2">
      <t>ヨウト</t>
    </rPh>
    <rPh sb="2" eb="4">
      <t>ハンテイ</t>
    </rPh>
    <phoneticPr fontId="64"/>
  </si>
  <si>
    <t>自社ビル判定</t>
    <rPh sb="0" eb="2">
      <t>ジシャ</t>
    </rPh>
    <rPh sb="4" eb="6">
      <t>ハンテイ</t>
    </rPh>
    <phoneticPr fontId="64"/>
  </si>
  <si>
    <t>テナントビル（オフィス系、中規模）</t>
    <phoneticPr fontId="22"/>
  </si>
  <si>
    <t>テナントビル（オフィス系、準大規模）</t>
    <phoneticPr fontId="22"/>
  </si>
  <si>
    <t>テナントビル（商業複合系、小規模）</t>
    <phoneticPr fontId="22"/>
  </si>
  <si>
    <t>テナントビル（商業複合系、中規模）</t>
    <phoneticPr fontId="22"/>
  </si>
  <si>
    <t>テナントビル（商業複合系、準大規模）</t>
    <phoneticPr fontId="22"/>
  </si>
  <si>
    <t>判定</t>
    <rPh sb="0" eb="2">
      <t>ハンテイ</t>
    </rPh>
    <phoneticPr fontId="64"/>
  </si>
  <si>
    <t>オフィス（自社ビル）</t>
    <phoneticPr fontId="64"/>
  </si>
  <si>
    <t>作成年度</t>
    <rPh sb="0" eb="2">
      <t>サクセイ</t>
    </rPh>
    <rPh sb="2" eb="4">
      <t>ネンド</t>
    </rPh>
    <phoneticPr fontId="22"/>
  </si>
  <si>
    <t>■作成年度</t>
    <rPh sb="1" eb="3">
      <t>サクセイ</t>
    </rPh>
    <rPh sb="3" eb="5">
      <t>ネンド</t>
    </rPh>
    <phoneticPr fontId="64"/>
  </si>
  <si>
    <t>■ベンチマーク区分</t>
    <rPh sb="7" eb="9">
      <t>クブン</t>
    </rPh>
    <phoneticPr fontId="66"/>
  </si>
  <si>
    <t>面積</t>
    <rPh sb="0" eb="2">
      <t>メンセキ</t>
    </rPh>
    <phoneticPr fontId="22"/>
  </si>
  <si>
    <t>運転時間</t>
    <rPh sb="0" eb="2">
      <t>ウンテン</t>
    </rPh>
    <rPh sb="2" eb="4">
      <t>ジカン</t>
    </rPh>
    <phoneticPr fontId="22"/>
  </si>
  <si>
    <t>■リンク元画像</t>
    <rPh sb="4" eb="5">
      <t>モト</t>
    </rPh>
    <rPh sb="5" eb="7">
      <t>ガゾウ</t>
    </rPh>
    <phoneticPr fontId="66"/>
  </si>
  <si>
    <t>テナント</t>
    <phoneticPr fontId="66"/>
  </si>
  <si>
    <t>★★★</t>
    <phoneticPr fontId="66"/>
  </si>
  <si>
    <t>★★</t>
    <phoneticPr fontId="66"/>
  </si>
  <si>
    <t>★</t>
    <phoneticPr fontId="66"/>
  </si>
  <si>
    <t>制御あり</t>
    <rPh sb="0" eb="2">
      <t>セイギョ</t>
    </rPh>
    <phoneticPr fontId="66"/>
  </si>
  <si>
    <t>制御なし</t>
    <rPh sb="0" eb="2">
      <t>セイギョ</t>
    </rPh>
    <phoneticPr fontId="66"/>
  </si>
  <si>
    <t>削減効果非表示</t>
    <rPh sb="0" eb="2">
      <t>サクゲン</t>
    </rPh>
    <rPh sb="2" eb="4">
      <t>コウカ</t>
    </rPh>
    <rPh sb="4" eb="7">
      <t>ヒヒョウジ</t>
    </rPh>
    <phoneticPr fontId="66"/>
  </si>
  <si>
    <t>高効率パッケージ形空調機の導入</t>
    <phoneticPr fontId="66"/>
  </si>
  <si>
    <t>高効率照明器具の導入</t>
    <phoneticPr fontId="66"/>
  </si>
  <si>
    <t>改修項目非表示</t>
    <rPh sb="0" eb="2">
      <t>カイシュウ</t>
    </rPh>
    <rPh sb="2" eb="4">
      <t>コウモク</t>
    </rPh>
    <rPh sb="4" eb="7">
      <t>ヒヒョウジ</t>
    </rPh>
    <phoneticPr fontId="66"/>
  </si>
  <si>
    <t>照明のこまめな消灯</t>
    <rPh sb="0" eb="2">
      <t>ショウメイ</t>
    </rPh>
    <rPh sb="7" eb="9">
      <t>ショウトウ</t>
    </rPh>
    <phoneticPr fontId="66"/>
  </si>
  <si>
    <t>照度の管理</t>
    <rPh sb="0" eb="2">
      <t>ショウド</t>
    </rPh>
    <rPh sb="3" eb="5">
      <t>カンリ</t>
    </rPh>
    <phoneticPr fontId="66"/>
  </si>
  <si>
    <t>空調の適正温度管理</t>
    <rPh sb="0" eb="2">
      <t>クウチョウ</t>
    </rPh>
    <rPh sb="3" eb="5">
      <t>テキセイ</t>
    </rPh>
    <rPh sb="5" eb="7">
      <t>オンド</t>
    </rPh>
    <rPh sb="7" eb="9">
      <t>カンリ</t>
    </rPh>
    <phoneticPr fontId="66"/>
  </si>
  <si>
    <t>共用部の節電</t>
    <rPh sb="0" eb="2">
      <t>キョウヨウ</t>
    </rPh>
    <rPh sb="2" eb="3">
      <t>ブ</t>
    </rPh>
    <rPh sb="4" eb="6">
      <t>セツデン</t>
    </rPh>
    <phoneticPr fontId="66"/>
  </si>
  <si>
    <t>給湯設備の節電</t>
    <rPh sb="0" eb="4">
      <t>キュウトウセツビ</t>
    </rPh>
    <rPh sb="5" eb="7">
      <t>セツデン</t>
    </rPh>
    <phoneticPr fontId="66"/>
  </si>
  <si>
    <t>ポンプ・ファンの節電</t>
    <rPh sb="8" eb="10">
      <t>セツデン</t>
    </rPh>
    <phoneticPr fontId="66"/>
  </si>
  <si>
    <t>事務機器の節電</t>
    <phoneticPr fontId="66"/>
  </si>
  <si>
    <t>運用対策非表示</t>
    <rPh sb="0" eb="2">
      <t>ウンヨウ</t>
    </rPh>
    <rPh sb="2" eb="3">
      <t>タイ</t>
    </rPh>
    <rPh sb="3" eb="4">
      <t>サク</t>
    </rPh>
    <rPh sb="4" eb="7">
      <t>ヒヒョウジ</t>
    </rPh>
    <phoneticPr fontId="66"/>
  </si>
  <si>
    <t>ラベリング非表示</t>
    <rPh sb="5" eb="8">
      <t>ヒヒョウジ</t>
    </rPh>
    <phoneticPr fontId="66"/>
  </si>
  <si>
    <t>ランクS：★★★★★</t>
    <phoneticPr fontId="66"/>
  </si>
  <si>
    <t>ランクA：★★★★</t>
    <phoneticPr fontId="66"/>
  </si>
  <si>
    <t>ランクB+：★★★</t>
    <phoneticPr fontId="66"/>
  </si>
  <si>
    <t>ランクB-：★★</t>
    <phoneticPr fontId="66"/>
  </si>
  <si>
    <t>ランクC：★</t>
    <phoneticPr fontId="66"/>
  </si>
  <si>
    <t>CASBEE非表示</t>
    <rPh sb="6" eb="9">
      <t>ヒヒョウジ</t>
    </rPh>
    <phoneticPr fontId="66"/>
  </si>
  <si>
    <t>☆省エネ改修項目</t>
    <rPh sb="1" eb="2">
      <t>ショウ</t>
    </rPh>
    <rPh sb="4" eb="6">
      <t>カイシュウ</t>
    </rPh>
    <rPh sb="6" eb="8">
      <t>コウモク</t>
    </rPh>
    <phoneticPr fontId="66"/>
  </si>
  <si>
    <t>改修項目1</t>
    <rPh sb="0" eb="2">
      <t>カイシュウ</t>
    </rPh>
    <rPh sb="2" eb="4">
      <t>コウモク</t>
    </rPh>
    <phoneticPr fontId="66"/>
  </si>
  <si>
    <t>改修項目2</t>
    <rPh sb="0" eb="2">
      <t>カイシュウ</t>
    </rPh>
    <rPh sb="2" eb="4">
      <t>コウモク</t>
    </rPh>
    <phoneticPr fontId="66"/>
  </si>
  <si>
    <t>改修項目3</t>
    <rPh sb="0" eb="2">
      <t>カイシュウ</t>
    </rPh>
    <rPh sb="2" eb="4">
      <t>コウモク</t>
    </rPh>
    <phoneticPr fontId="66"/>
  </si>
  <si>
    <t>←PAC,照明、その他は削減効果の大きいものを表示</t>
    <rPh sb="5" eb="7">
      <t>ショウメイ</t>
    </rPh>
    <rPh sb="10" eb="11">
      <t>ホカ</t>
    </rPh>
    <rPh sb="12" eb="14">
      <t>サクゲン</t>
    </rPh>
    <rPh sb="14" eb="16">
      <t>コウカ</t>
    </rPh>
    <rPh sb="17" eb="18">
      <t>オオ</t>
    </rPh>
    <rPh sb="23" eb="25">
      <t>ヒョウジ</t>
    </rPh>
    <phoneticPr fontId="66"/>
  </si>
  <si>
    <t>←ピクトテキスト表示</t>
    <rPh sb="8" eb="10">
      <t>ヒョウジ</t>
    </rPh>
    <phoneticPr fontId="66"/>
  </si>
  <si>
    <t>■照明制御</t>
    <rPh sb="1" eb="3">
      <t>ショウメイ</t>
    </rPh>
    <rPh sb="3" eb="5">
      <t>セイギョ</t>
    </rPh>
    <phoneticPr fontId="66"/>
  </si>
  <si>
    <t>■ラベリング</t>
    <phoneticPr fontId="66"/>
  </si>
  <si>
    <t>ランクS：★★★★★</t>
    <phoneticPr fontId="66"/>
  </si>
  <si>
    <t>ランクA：★★★★</t>
    <phoneticPr fontId="66"/>
  </si>
  <si>
    <t>ランクB+：★★★</t>
    <phoneticPr fontId="66"/>
  </si>
  <si>
    <t>ランクB-：★★</t>
    <phoneticPr fontId="66"/>
  </si>
  <si>
    <t>ランクC：★</t>
    <phoneticPr fontId="66"/>
  </si>
  <si>
    <t>☆ラベリング表示</t>
    <rPh sb="6" eb="8">
      <t>ヒョウジ</t>
    </rPh>
    <phoneticPr fontId="66"/>
  </si>
  <si>
    <t>ラベリング1</t>
    <phoneticPr fontId="66"/>
  </si>
  <si>
    <t>ラベリング4</t>
    <phoneticPr fontId="66"/>
  </si>
  <si>
    <t>階数</t>
    <rPh sb="0" eb="2">
      <t>カイスウ</t>
    </rPh>
    <phoneticPr fontId="66"/>
  </si>
  <si>
    <t>認定番号</t>
    <rPh sb="0" eb="2">
      <t>ニンテイ</t>
    </rPh>
    <rPh sb="2" eb="4">
      <t>バンゴウ</t>
    </rPh>
    <phoneticPr fontId="66"/>
  </si>
  <si>
    <t>換算係数</t>
    <rPh sb="0" eb="2">
      <t>カンサン</t>
    </rPh>
    <rPh sb="2" eb="4">
      <t>ケイスウ</t>
    </rPh>
    <phoneticPr fontId="28"/>
  </si>
  <si>
    <t>年度実績データ</t>
    <rPh sb="0" eb="2">
      <t>ネンド</t>
    </rPh>
    <rPh sb="2" eb="4">
      <t>ジッセキ</t>
    </rPh>
    <phoneticPr fontId="66"/>
  </si>
  <si>
    <t>一次エネルギー</t>
    <rPh sb="0" eb="2">
      <t>イチジ</t>
    </rPh>
    <phoneticPr fontId="66"/>
  </si>
  <si>
    <t>使用量</t>
    <rPh sb="0" eb="3">
      <t>シヨウリョウ</t>
    </rPh>
    <phoneticPr fontId="66"/>
  </si>
  <si>
    <t>CO2</t>
    <phoneticPr fontId="66"/>
  </si>
  <si>
    <t>一次エネルギー消費量 [MJ/年]</t>
    <rPh sb="0" eb="2">
      <t>イチジ</t>
    </rPh>
    <rPh sb="7" eb="10">
      <t>ショウヒリョウ</t>
    </rPh>
    <phoneticPr fontId="22"/>
  </si>
  <si>
    <t>電気消費量 [kWh/年]</t>
    <rPh sb="0" eb="2">
      <t>デンキ</t>
    </rPh>
    <rPh sb="2" eb="5">
      <t>ショウヒリョウ</t>
    </rPh>
    <phoneticPr fontId="22"/>
  </si>
  <si>
    <t>電気削減量
〔kWh/年]</t>
    <rPh sb="0" eb="2">
      <t>デンキ</t>
    </rPh>
    <rPh sb="2" eb="4">
      <t>サクゲン</t>
    </rPh>
    <rPh sb="4" eb="5">
      <t>リョウ</t>
    </rPh>
    <phoneticPr fontId="22"/>
  </si>
  <si>
    <t>都市ガス消費量 [㎥/年]</t>
    <rPh sb="0" eb="2">
      <t>トシ</t>
    </rPh>
    <rPh sb="4" eb="7">
      <t>ショウヒリョウ</t>
    </rPh>
    <phoneticPr fontId="22"/>
  </si>
  <si>
    <t>一次エネルギー削減量
〔MJ/年]</t>
    <rPh sb="0" eb="2">
      <t>イチジ</t>
    </rPh>
    <rPh sb="7" eb="9">
      <t>サクゲン</t>
    </rPh>
    <rPh sb="9" eb="10">
      <t>リョウ</t>
    </rPh>
    <phoneticPr fontId="22"/>
  </si>
  <si>
    <t>年度</t>
    <rPh sb="0" eb="2">
      <t>ネンド</t>
    </rPh>
    <phoneticPr fontId="66"/>
  </si>
  <si>
    <t>電気</t>
    <rPh sb="0" eb="2">
      <t>デンキ</t>
    </rPh>
    <phoneticPr fontId="66"/>
  </si>
  <si>
    <r>
      <t>M</t>
    </r>
    <r>
      <rPr>
        <sz val="11"/>
        <color theme="1"/>
        <rFont val="ＭＳ Ｐゴシック"/>
        <family val="2"/>
        <charset val="128"/>
        <scheme val="minor"/>
      </rPr>
      <t>J</t>
    </r>
    <phoneticPr fontId="66"/>
  </si>
  <si>
    <r>
      <t>k</t>
    </r>
    <r>
      <rPr>
        <sz val="11"/>
        <color theme="1"/>
        <rFont val="ＭＳ Ｐゴシック"/>
        <family val="2"/>
        <charset val="128"/>
        <scheme val="minor"/>
      </rPr>
      <t>Wh</t>
    </r>
    <phoneticPr fontId="66"/>
  </si>
  <si>
    <t>都市ガス</t>
    <rPh sb="0" eb="2">
      <t>トシ</t>
    </rPh>
    <phoneticPr fontId="66"/>
  </si>
  <si>
    <t>その他</t>
    <rPh sb="2" eb="3">
      <t>ホカ</t>
    </rPh>
    <phoneticPr fontId="66"/>
  </si>
  <si>
    <t>t-CO2</t>
    <phoneticPr fontId="66"/>
  </si>
  <si>
    <t>■CO2排出量・一次エネルギー・使用量　集計表</t>
    <rPh sb="8" eb="10">
      <t>イチジ</t>
    </rPh>
    <rPh sb="16" eb="19">
      <t>シヨウリョウ</t>
    </rPh>
    <phoneticPr fontId="66"/>
  </si>
  <si>
    <t>■「作成年度」の１年前のデータ</t>
    <rPh sb="2" eb="4">
      <t>サクセイ</t>
    </rPh>
    <rPh sb="4" eb="6">
      <t>ネンド</t>
    </rPh>
    <rPh sb="9" eb="11">
      <t>ネンマエ</t>
    </rPh>
    <phoneticPr fontId="66"/>
  </si>
  <si>
    <t>事務所</t>
    <rPh sb="0" eb="2">
      <t>ジム</t>
    </rPh>
    <rPh sb="2" eb="3">
      <t>ショ</t>
    </rPh>
    <phoneticPr fontId="22"/>
  </si>
  <si>
    <t>オフィス（テナント専有部）</t>
    <rPh sb="9" eb="11">
      <t>センユウ</t>
    </rPh>
    <rPh sb="11" eb="12">
      <t>ブ</t>
    </rPh>
    <phoneticPr fontId="22"/>
  </si>
  <si>
    <t>オフィス（自社ビル）</t>
    <rPh sb="5" eb="7">
      <t>ジシャ</t>
    </rPh>
    <phoneticPr fontId="22"/>
  </si>
  <si>
    <t>その他(区市町村庁舎等)</t>
    <rPh sb="2" eb="3">
      <t>ホカ</t>
    </rPh>
    <phoneticPr fontId="22"/>
  </si>
  <si>
    <t>物販店(コンビ二)</t>
    <rPh sb="0" eb="3">
      <t>ブッパンテン</t>
    </rPh>
    <phoneticPr fontId="22"/>
  </si>
  <si>
    <t>(ドラッグストア)</t>
    <phoneticPr fontId="66"/>
  </si>
  <si>
    <t>物販店(ドラッグストア)</t>
    <rPh sb="0" eb="3">
      <t>ブッパンテン</t>
    </rPh>
    <phoneticPr fontId="22"/>
  </si>
  <si>
    <t>物販店(総合スーパー・百貨店)</t>
    <rPh sb="0" eb="3">
      <t>ブッパンテン</t>
    </rPh>
    <phoneticPr fontId="22"/>
  </si>
  <si>
    <t>物販店(生鮮食品等)</t>
    <rPh sb="0" eb="3">
      <t>ブッパンテン</t>
    </rPh>
    <phoneticPr fontId="22"/>
  </si>
  <si>
    <t>物販店(食料品の製造小売)</t>
    <rPh sb="0" eb="3">
      <t>ブッパンテン</t>
    </rPh>
    <phoneticPr fontId="22"/>
  </si>
  <si>
    <t>物販店(服飾品)</t>
    <rPh sb="0" eb="3">
      <t>ブッパンテン</t>
    </rPh>
    <phoneticPr fontId="22"/>
  </si>
  <si>
    <t>物販店(自動車（新車）小売)</t>
    <rPh sb="0" eb="3">
      <t>ブッパンテン</t>
    </rPh>
    <phoneticPr fontId="22"/>
  </si>
  <si>
    <t>飲食店(食堂・レストラン)</t>
    <rPh sb="0" eb="2">
      <t>インショク</t>
    </rPh>
    <rPh sb="2" eb="3">
      <t>テン</t>
    </rPh>
    <phoneticPr fontId="22"/>
  </si>
  <si>
    <t>飲食店(居酒屋・バー)</t>
    <rPh sb="0" eb="2">
      <t>インショク</t>
    </rPh>
    <rPh sb="2" eb="3">
      <t>テン</t>
    </rPh>
    <phoneticPr fontId="22"/>
  </si>
  <si>
    <t>(ハンバーガー)</t>
    <phoneticPr fontId="66"/>
  </si>
  <si>
    <t>飲食店(ハンバーガー)</t>
    <rPh sb="0" eb="2">
      <t>インショク</t>
    </rPh>
    <rPh sb="2" eb="3">
      <t>テン</t>
    </rPh>
    <phoneticPr fontId="22"/>
  </si>
  <si>
    <t>飲食店(喫茶)</t>
    <rPh sb="0" eb="2">
      <t>インショク</t>
    </rPh>
    <rPh sb="2" eb="3">
      <t>テン</t>
    </rPh>
    <phoneticPr fontId="22"/>
  </si>
  <si>
    <t>飲食店(焼肉)</t>
    <rPh sb="0" eb="2">
      <t>インショク</t>
    </rPh>
    <rPh sb="2" eb="3">
      <t>テン</t>
    </rPh>
    <phoneticPr fontId="22"/>
  </si>
  <si>
    <t>飲食店(中華料理・ラーメン)</t>
    <rPh sb="0" eb="2">
      <t>インショク</t>
    </rPh>
    <rPh sb="2" eb="3">
      <t>テン</t>
    </rPh>
    <phoneticPr fontId="22"/>
  </si>
  <si>
    <t>飲食店(その他)</t>
    <rPh sb="0" eb="2">
      <t>インショク</t>
    </rPh>
    <rPh sb="2" eb="3">
      <t>テン</t>
    </rPh>
    <phoneticPr fontId="22"/>
  </si>
  <si>
    <t>その他(旅館・ホテル)</t>
    <rPh sb="2" eb="3">
      <t>ホカ</t>
    </rPh>
    <phoneticPr fontId="22"/>
  </si>
  <si>
    <t>その他(学校・教育施設)</t>
    <rPh sb="2" eb="3">
      <t>ホカ</t>
    </rPh>
    <phoneticPr fontId="22"/>
  </si>
  <si>
    <t>その他(保育所)</t>
    <rPh sb="2" eb="3">
      <t>ホカ</t>
    </rPh>
    <phoneticPr fontId="22"/>
  </si>
  <si>
    <t>その他(病院・診療所)</t>
    <rPh sb="2" eb="3">
      <t>ホカ</t>
    </rPh>
    <phoneticPr fontId="22"/>
  </si>
  <si>
    <t>その他(保険・介護施設)</t>
    <rPh sb="2" eb="3">
      <t>ホカ</t>
    </rPh>
    <phoneticPr fontId="22"/>
  </si>
  <si>
    <t>その他(フィットネス施設)</t>
    <rPh sb="2" eb="3">
      <t>ホカ</t>
    </rPh>
    <phoneticPr fontId="22"/>
  </si>
  <si>
    <t>その他(パチンコ店舗)</t>
    <rPh sb="2" eb="3">
      <t>ホカ</t>
    </rPh>
    <phoneticPr fontId="22"/>
  </si>
  <si>
    <t>その他(カラオケボックス店舗)</t>
    <rPh sb="2" eb="3">
      <t>ホカ</t>
    </rPh>
    <phoneticPr fontId="22"/>
  </si>
  <si>
    <t>(ゲームセンター)</t>
    <phoneticPr fontId="66"/>
  </si>
  <si>
    <t>その他(ゲームセンター)</t>
    <rPh sb="2" eb="3">
      <t>ホカ</t>
    </rPh>
    <phoneticPr fontId="22"/>
  </si>
  <si>
    <t>その他(図書館)</t>
    <rPh sb="2" eb="3">
      <t>ホカ</t>
    </rPh>
    <phoneticPr fontId="22"/>
  </si>
  <si>
    <t>その他(博物館・美術館)</t>
    <rPh sb="2" eb="3">
      <t>ホカ</t>
    </rPh>
    <phoneticPr fontId="22"/>
  </si>
  <si>
    <t>用途</t>
    <rPh sb="0" eb="2">
      <t>ヨウト</t>
    </rPh>
    <phoneticPr fontId="22"/>
  </si>
  <si>
    <t>ベンチマーク区分</t>
    <rPh sb="6" eb="8">
      <t>クブン</t>
    </rPh>
    <phoneticPr fontId="22"/>
  </si>
  <si>
    <t>延床面積</t>
    <rPh sb="0" eb="1">
      <t>ノ</t>
    </rPh>
    <rPh sb="1" eb="4">
      <t>ユカメンセキ</t>
    </rPh>
    <phoneticPr fontId="22"/>
  </si>
  <si>
    <t>共用部面積</t>
    <rPh sb="0" eb="2">
      <t>キョウヨウ</t>
    </rPh>
    <rPh sb="2" eb="3">
      <t>ブ</t>
    </rPh>
    <rPh sb="3" eb="5">
      <t>メンセキ</t>
    </rPh>
    <phoneticPr fontId="22"/>
  </si>
  <si>
    <t>駐車場以外の面積合計</t>
    <rPh sb="0" eb="2">
      <t>チュウシャ</t>
    </rPh>
    <rPh sb="2" eb="3">
      <t>ジョウ</t>
    </rPh>
    <rPh sb="3" eb="5">
      <t>イガイ</t>
    </rPh>
    <rPh sb="6" eb="8">
      <t>メンセキ</t>
    </rPh>
    <rPh sb="8" eb="10">
      <t>ゴウケイ</t>
    </rPh>
    <phoneticPr fontId="22"/>
  </si>
  <si>
    <r>
      <t>C</t>
    </r>
    <r>
      <rPr>
        <sz val="11"/>
        <color theme="1"/>
        <rFont val="ＭＳ Ｐゴシック"/>
        <family val="2"/>
        <charset val="128"/>
        <scheme val="minor"/>
      </rPr>
      <t>O2合計</t>
    </r>
    <rPh sb="3" eb="5">
      <t>ゴウケイ</t>
    </rPh>
    <phoneticPr fontId="22"/>
  </si>
  <si>
    <t>共用部
足し戻し
面積</t>
    <rPh sb="0" eb="2">
      <t>キョウヨウ</t>
    </rPh>
    <rPh sb="2" eb="3">
      <t>ブ</t>
    </rPh>
    <rPh sb="4" eb="5">
      <t>タ</t>
    </rPh>
    <rPh sb="6" eb="7">
      <t>モド</t>
    </rPh>
    <rPh sb="9" eb="11">
      <t>メンセキ</t>
    </rPh>
    <phoneticPr fontId="22"/>
  </si>
  <si>
    <t>共用部
按分比</t>
    <rPh sb="0" eb="2">
      <t>キョウヨウ</t>
    </rPh>
    <rPh sb="2" eb="3">
      <t>ブ</t>
    </rPh>
    <rPh sb="4" eb="6">
      <t>アンブン</t>
    </rPh>
    <rPh sb="6" eb="7">
      <t>ヒ</t>
    </rPh>
    <phoneticPr fontId="22"/>
  </si>
  <si>
    <t>オフィス（自社ビル）</t>
  </si>
  <si>
    <t>テナントビル（オフィス系、小規模）</t>
  </si>
  <si>
    <t>テナントビル（オフィス系、中規模）</t>
  </si>
  <si>
    <t>テナントビル（オフィス系、準大規模）</t>
  </si>
  <si>
    <t>テナントビル（商業複合系、小規模）</t>
  </si>
  <si>
    <t>テナントビル（商業複合系、中規模）</t>
  </si>
  <si>
    <t>テナントビル（商業複合系、準大規模）</t>
  </si>
  <si>
    <t>73.2</t>
    <phoneticPr fontId="22"/>
  </si>
  <si>
    <t>70</t>
    <phoneticPr fontId="22"/>
  </si>
  <si>
    <t>66.8</t>
    <phoneticPr fontId="22"/>
  </si>
  <si>
    <t>63.6</t>
    <phoneticPr fontId="22"/>
  </si>
  <si>
    <t>60.5</t>
    <phoneticPr fontId="22"/>
  </si>
  <si>
    <t>推計削減量計算書</t>
    <rPh sb="0" eb="2">
      <t>スイケイ</t>
    </rPh>
    <rPh sb="2" eb="4">
      <t>サクゲン</t>
    </rPh>
    <rPh sb="4" eb="5">
      <t>リョウ</t>
    </rPh>
    <rPh sb="5" eb="7">
      <t>ケイサン</t>
    </rPh>
    <rPh sb="7" eb="8">
      <t>ショ</t>
    </rPh>
    <phoneticPr fontId="22"/>
  </si>
  <si>
    <t>54.1</t>
    <phoneticPr fontId="22"/>
  </si>
  <si>
    <t>テナントビル名称</t>
    <rPh sb="6" eb="8">
      <t>メイショウ</t>
    </rPh>
    <phoneticPr fontId="22"/>
  </si>
  <si>
    <t>41.4</t>
    <phoneticPr fontId="22"/>
  </si>
  <si>
    <t>竣工年月（西暦）</t>
    <rPh sb="0" eb="2">
      <t>シュンコウ</t>
    </rPh>
    <rPh sb="2" eb="3">
      <t>ネン</t>
    </rPh>
    <rPh sb="3" eb="4">
      <t>ツキ</t>
    </rPh>
    <rPh sb="5" eb="7">
      <t>セイレキ</t>
    </rPh>
    <phoneticPr fontId="22"/>
  </si>
  <si>
    <t>35</t>
    <phoneticPr fontId="22"/>
  </si>
  <si>
    <t>報告年度（西暦）</t>
    <rPh sb="0" eb="2">
      <t>ホウコク</t>
    </rPh>
    <rPh sb="2" eb="4">
      <t>ネンド</t>
    </rPh>
    <rPh sb="5" eb="7">
      <t>セイレキ</t>
    </rPh>
    <phoneticPr fontId="22"/>
  </si>
  <si>
    <t>事務所、官公庁庁舎、警察署、消防署、刑務所、拘置所、斎場、研究施設（事務所的なものに限る）、宗教施設 など</t>
    <rPh sb="4" eb="7">
      <t>カンコウチョウ</t>
    </rPh>
    <rPh sb="10" eb="13">
      <t>ケイサツショ</t>
    </rPh>
    <rPh sb="14" eb="17">
      <t>ショウボウショ</t>
    </rPh>
    <rPh sb="18" eb="21">
      <t>ケイムショ</t>
    </rPh>
    <rPh sb="22" eb="25">
      <t>コウチショ</t>
    </rPh>
    <rPh sb="26" eb="28">
      <t>サイジョウ</t>
    </rPh>
    <rPh sb="46" eb="48">
      <t>シュウキョウ</t>
    </rPh>
    <rPh sb="48" eb="50">
      <t>シセツ</t>
    </rPh>
    <phoneticPr fontId="22"/>
  </si>
  <si>
    <t>ショッピングセンター、百貨店、スーパー、遊技場、温浴施設、空港、バスターミナル など</t>
    <rPh sb="11" eb="14">
      <t>ヒャッカテン</t>
    </rPh>
    <rPh sb="20" eb="23">
      <t>ユウギジョウ</t>
    </rPh>
    <rPh sb="24" eb="26">
      <t>オンヨク</t>
    </rPh>
    <rPh sb="26" eb="28">
      <t>シセツ</t>
    </rPh>
    <rPh sb="29" eb="31">
      <t>クウコウ</t>
    </rPh>
    <phoneticPr fontId="22"/>
  </si>
  <si>
    <t>飲食店、食堂、喫茶店 など</t>
    <rPh sb="0" eb="2">
      <t>インショク</t>
    </rPh>
    <phoneticPr fontId="22"/>
  </si>
  <si>
    <t>ホテル、旅館、公共宿泊施設、結婚式場・宴会場、福祉施設 など</t>
    <rPh sb="4" eb="6">
      <t>リョカン</t>
    </rPh>
    <rPh sb="7" eb="9">
      <t>コウキョウ</t>
    </rPh>
    <rPh sb="9" eb="11">
      <t>シュクハク</t>
    </rPh>
    <rPh sb="11" eb="13">
      <t>シセツ</t>
    </rPh>
    <rPh sb="14" eb="16">
      <t>ケッコン</t>
    </rPh>
    <rPh sb="16" eb="18">
      <t>シキジョウ</t>
    </rPh>
    <rPh sb="19" eb="22">
      <t>エンカイジョウ</t>
    </rPh>
    <phoneticPr fontId="22"/>
  </si>
  <si>
    <t>小学校、中学校、高等学校、大学、高等専門学校、専修学校、各種学校 など</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22"/>
  </si>
  <si>
    <t>テナントビル（オフィス系、準大規模）</t>
    <phoneticPr fontId="22"/>
  </si>
  <si>
    <t>病院、大学病院 など</t>
    <rPh sb="0" eb="2">
      <t>ビョウイン</t>
    </rPh>
    <rPh sb="3" eb="5">
      <t>ダイガク</t>
    </rPh>
    <rPh sb="5" eb="7">
      <t>ビョウイン</t>
    </rPh>
    <phoneticPr fontId="22"/>
  </si>
  <si>
    <t>テナントビル（商業複合系、小規模）</t>
    <phoneticPr fontId="22"/>
  </si>
  <si>
    <t>美術館、博物館、図書館、集会場、展示場、劇場、映画館、体育館、競技場、運動施設、遊園地、競馬場、競艇場 など</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22"/>
  </si>
  <si>
    <t>工場など</t>
    <rPh sb="0" eb="2">
      <t>コウジョウ</t>
    </rPh>
    <phoneticPr fontId="22"/>
  </si>
  <si>
    <t>テナントビル（商業複合系、準大規模）</t>
    <phoneticPr fontId="22"/>
  </si>
  <si>
    <t>採用値(全負荷）</t>
    <rPh sb="0" eb="2">
      <t>サイヨウ</t>
    </rPh>
    <rPh sb="2" eb="3">
      <t>アタイ</t>
    </rPh>
    <rPh sb="4" eb="5">
      <t>ゼン</t>
    </rPh>
    <rPh sb="5" eb="7">
      <t>フカ</t>
    </rPh>
    <phoneticPr fontId="22"/>
  </si>
  <si>
    <t>申請前年度のCO2排出量　[t-CO2/年]</t>
    <rPh sb="0" eb="2">
      <t>シンセイ</t>
    </rPh>
    <rPh sb="2" eb="5">
      <t>ゼンネンド</t>
    </rPh>
    <rPh sb="9" eb="11">
      <t>ハイシュツ</t>
    </rPh>
    <rPh sb="11" eb="12">
      <t>リョウ</t>
    </rPh>
    <rPh sb="20" eb="21">
      <t>ネン</t>
    </rPh>
    <phoneticPr fontId="22"/>
  </si>
  <si>
    <t>No</t>
    <phoneticPr fontId="22"/>
  </si>
  <si>
    <t xml:space="preserve"> A-1</t>
    <phoneticPr fontId="22"/>
  </si>
  <si>
    <t xml:space="preserve"> A-2</t>
    <phoneticPr fontId="22"/>
  </si>
  <si>
    <t xml:space="preserve"> A-3</t>
    <phoneticPr fontId="22"/>
  </si>
  <si>
    <t xml:space="preserve"> A-4</t>
    <phoneticPr fontId="22"/>
  </si>
  <si>
    <t xml:space="preserve"> B-1</t>
    <phoneticPr fontId="22"/>
  </si>
  <si>
    <t xml:space="preserve"> B-2</t>
    <phoneticPr fontId="22"/>
  </si>
  <si>
    <t xml:space="preserve"> B-3</t>
    <phoneticPr fontId="22"/>
  </si>
  <si>
    <t>改修後</t>
    <rPh sb="0" eb="2">
      <t>カイシュウ</t>
    </rPh>
    <rPh sb="2" eb="3">
      <t>ウシ</t>
    </rPh>
    <phoneticPr fontId="22"/>
  </si>
  <si>
    <t>申請前年度の一次エネルギー消費原単位</t>
    <rPh sb="0" eb="2">
      <t>シンセイ</t>
    </rPh>
    <rPh sb="2" eb="5">
      <t>ゼンネンド</t>
    </rPh>
    <rPh sb="6" eb="8">
      <t>イチジ</t>
    </rPh>
    <rPh sb="13" eb="15">
      <t>ショウヒ</t>
    </rPh>
    <rPh sb="15" eb="18">
      <t>ゲンタンイ</t>
    </rPh>
    <phoneticPr fontId="22"/>
  </si>
  <si>
    <t>運用改善目標</t>
  </si>
  <si>
    <t>撤去シート
（改修前）</t>
    <rPh sb="0" eb="2">
      <t>テッキョ</t>
    </rPh>
    <rPh sb="7" eb="9">
      <t>カイシュウ</t>
    </rPh>
    <rPh sb="9" eb="10">
      <t>マエ</t>
    </rPh>
    <phoneticPr fontId="22"/>
  </si>
  <si>
    <t>新設シート
（改修後）</t>
    <rPh sb="0" eb="2">
      <t>シンセツ</t>
    </rPh>
    <rPh sb="7" eb="9">
      <t>カイシュウ</t>
    </rPh>
    <rPh sb="9" eb="10">
      <t>ゴ</t>
    </rPh>
    <phoneticPr fontId="22"/>
  </si>
  <si>
    <t>合計</t>
    <rPh sb="0" eb="2">
      <t>ゴウケイ</t>
    </rPh>
    <phoneticPr fontId="64"/>
  </si>
  <si>
    <t>都市ガス削減量
〔㎥/年]</t>
    <rPh sb="0" eb="2">
      <t>トシ</t>
    </rPh>
    <rPh sb="4" eb="6">
      <t>サクゲン</t>
    </rPh>
    <rPh sb="6" eb="7">
      <t>リョウ</t>
    </rPh>
    <phoneticPr fontId="22"/>
  </si>
  <si>
    <t>テナントビル（オフィス系、小規模）</t>
    <phoneticPr fontId="22"/>
  </si>
  <si>
    <t>■規模で平均原単位を決定</t>
    <rPh sb="1" eb="3">
      <t>キボ</t>
    </rPh>
    <rPh sb="4" eb="6">
      <t>ヘイキン</t>
    </rPh>
    <rPh sb="6" eb="9">
      <t>ゲンタンイ</t>
    </rPh>
    <rPh sb="10" eb="12">
      <t>ケッテイ</t>
    </rPh>
    <phoneticPr fontId="22"/>
  </si>
  <si>
    <t>ベンチマーク区分</t>
    <rPh sb="6" eb="8">
      <t>クブン</t>
    </rPh>
    <phoneticPr fontId="22"/>
  </si>
  <si>
    <t>規模判定</t>
    <rPh sb="0" eb="2">
      <t>キボ</t>
    </rPh>
    <rPh sb="2" eb="4">
      <t>ハンテイ</t>
    </rPh>
    <phoneticPr fontId="22"/>
  </si>
  <si>
    <t>平均原単位</t>
    <rPh sb="0" eb="2">
      <t>ヘイキン</t>
    </rPh>
    <rPh sb="2" eb="5">
      <t>ゲンタンイ</t>
    </rPh>
    <phoneticPr fontId="22"/>
  </si>
  <si>
    <t>↓オフィス（テナント専有部）を選択した場合は、規模に応じて「テナントビル（オフィス系、小規模）」「テナントビル（オフィス系、中規模）」「テナントビル（オフィス系、準大規模）」のいずれかの平均原単位を用いる</t>
    <rPh sb="63" eb="65">
      <t>キボ</t>
    </rPh>
    <rPh sb="81" eb="82">
      <t>ジュン</t>
    </rPh>
    <rPh sb="82" eb="83">
      <t>ダイ</t>
    </rPh>
    <rPh sb="93" eb="95">
      <t>ヘイキン</t>
    </rPh>
    <rPh sb="95" eb="98">
      <t>ゲンタンイ</t>
    </rPh>
    <rPh sb="99" eb="100">
      <t>モチ</t>
    </rPh>
    <phoneticPr fontId="22"/>
  </si>
  <si>
    <t>オフィス規模判定</t>
    <rPh sb="4" eb="6">
      <t>キボ</t>
    </rPh>
    <rPh sb="6" eb="8">
      <t>ハンテイ</t>
    </rPh>
    <phoneticPr fontId="22"/>
  </si>
  <si>
    <t>共用部按分後のオフィス面積で判定</t>
    <rPh sb="0" eb="2">
      <t>キョウヨウ</t>
    </rPh>
    <rPh sb="2" eb="3">
      <t>ブ</t>
    </rPh>
    <rPh sb="3" eb="5">
      <t>アンブン</t>
    </rPh>
    <rPh sb="5" eb="6">
      <t>ゴ</t>
    </rPh>
    <rPh sb="11" eb="13">
      <t>メンセキ</t>
    </rPh>
    <rPh sb="14" eb="16">
      <t>ハンテイ</t>
    </rPh>
    <phoneticPr fontId="22"/>
  </si>
  <si>
    <t>■削減対策項目シートによる計算結果集計表</t>
    <rPh sb="1" eb="3">
      <t>サクゲン</t>
    </rPh>
    <rPh sb="3" eb="4">
      <t>タイ</t>
    </rPh>
    <rPh sb="4" eb="5">
      <t>サク</t>
    </rPh>
    <rPh sb="5" eb="7">
      <t>コウモク</t>
    </rPh>
    <rPh sb="13" eb="15">
      <t>ケイサン</t>
    </rPh>
    <rPh sb="15" eb="17">
      <t>ケッカ</t>
    </rPh>
    <rPh sb="17" eb="19">
      <t>シュウケイ</t>
    </rPh>
    <rPh sb="19" eb="20">
      <t>ヒョウ</t>
    </rPh>
    <phoneticPr fontId="64"/>
  </si>
  <si>
    <t>合計</t>
    <rPh sb="0" eb="2">
      <t>ゴウケイ</t>
    </rPh>
    <phoneticPr fontId="66"/>
  </si>
  <si>
    <t>ベンチマーク評価に用いる平均原単位</t>
    <rPh sb="6" eb="8">
      <t>ヒョウカ</t>
    </rPh>
    <rPh sb="9" eb="10">
      <t>モチ</t>
    </rPh>
    <rPh sb="12" eb="14">
      <t>ヘイキン</t>
    </rPh>
    <rPh sb="14" eb="17">
      <t>ゲンタンイ</t>
    </rPh>
    <phoneticPr fontId="66"/>
  </si>
  <si>
    <r>
      <t>k</t>
    </r>
    <r>
      <rPr>
        <sz val="11"/>
        <color theme="1"/>
        <rFont val="ＭＳ Ｐゴシック"/>
        <family val="2"/>
        <charset val="128"/>
        <scheme val="minor"/>
      </rPr>
      <t>g-CO2/㎡・年</t>
    </r>
    <rPh sb="9" eb="10">
      <t>ネン</t>
    </rPh>
    <phoneticPr fontId="66"/>
  </si>
  <si>
    <t>改修前</t>
    <rPh sb="0" eb="2">
      <t>カイシュウ</t>
    </rPh>
    <rPh sb="2" eb="3">
      <t>マエ</t>
    </rPh>
    <phoneticPr fontId="66"/>
  </si>
  <si>
    <t>改修後</t>
    <rPh sb="0" eb="2">
      <t>カイシュウ</t>
    </rPh>
    <rPh sb="2" eb="3">
      <t>ゴ</t>
    </rPh>
    <phoneticPr fontId="66"/>
  </si>
  <si>
    <t>ベンチマーク評価</t>
    <rPh sb="6" eb="8">
      <t>ヒョウカ</t>
    </rPh>
    <phoneticPr fontId="66"/>
  </si>
  <si>
    <r>
      <t>k</t>
    </r>
    <r>
      <rPr>
        <sz val="6"/>
        <color theme="1"/>
        <rFont val="ＭＳ Ｐゴシック"/>
        <family val="3"/>
        <charset val="128"/>
        <scheme val="minor"/>
      </rPr>
      <t>g-CO2/㎡・年</t>
    </r>
    <rPh sb="9" eb="10">
      <t>ネン</t>
    </rPh>
    <phoneticPr fontId="66"/>
  </si>
  <si>
    <t>オフィス面積（共用部含む）</t>
    <rPh sb="4" eb="6">
      <t>メンセキ</t>
    </rPh>
    <rPh sb="7" eb="9">
      <t>キョウヨウ</t>
    </rPh>
    <rPh sb="9" eb="10">
      <t>ブ</t>
    </rPh>
    <rPh sb="10" eb="11">
      <t>フク</t>
    </rPh>
    <phoneticPr fontId="64"/>
  </si>
  <si>
    <t>補正後の平均原単位（平均値）</t>
    <rPh sb="10" eb="12">
      <t>ヘイキン</t>
    </rPh>
    <rPh sb="12" eb="13">
      <t>アタイ</t>
    </rPh>
    <phoneticPr fontId="22"/>
  </si>
  <si>
    <t>ベンチマーク区分の床面積</t>
    <rPh sb="6" eb="8">
      <t>クブン</t>
    </rPh>
    <rPh sb="9" eb="12">
      <t>ユカメンセキ</t>
    </rPh>
    <phoneticPr fontId="66"/>
  </si>
  <si>
    <t>ベンチマーク区分名</t>
    <rPh sb="6" eb="8">
      <t>クブン</t>
    </rPh>
    <rPh sb="8" eb="9">
      <t>メイ</t>
    </rPh>
    <phoneticPr fontId="66"/>
  </si>
  <si>
    <t>ベンチマーク区分以外の床面積及び平均原単位</t>
    <rPh sb="6" eb="8">
      <t>クブン</t>
    </rPh>
    <rPh sb="8" eb="10">
      <t>イガイ</t>
    </rPh>
    <rPh sb="11" eb="14">
      <t>ユカメンセキ</t>
    </rPh>
    <rPh sb="14" eb="15">
      <t>オヨ</t>
    </rPh>
    <rPh sb="16" eb="18">
      <t>ヘイキン</t>
    </rPh>
    <rPh sb="18" eb="21">
      <t>ゲンタンイ</t>
    </rPh>
    <phoneticPr fontId="66"/>
  </si>
  <si>
    <t>床面積
[㎡]</t>
    <rPh sb="0" eb="3">
      <t>ユカメンセキ</t>
    </rPh>
    <phoneticPr fontId="66"/>
  </si>
  <si>
    <t>床面積
（共用部含む）
[㎡]</t>
    <rPh sb="0" eb="3">
      <t>ユカメンセキ</t>
    </rPh>
    <rPh sb="5" eb="7">
      <t>キョウヨウ</t>
    </rPh>
    <rPh sb="7" eb="8">
      <t>ブ</t>
    </rPh>
    <rPh sb="8" eb="9">
      <t>フク</t>
    </rPh>
    <phoneticPr fontId="66"/>
  </si>
  <si>
    <t>kg-CO2</t>
    <phoneticPr fontId="22"/>
  </si>
  <si>
    <t>駐車場</t>
    <rPh sb="0" eb="2">
      <t>チュウシャ</t>
    </rPh>
    <rPh sb="2" eb="3">
      <t>ジョウ</t>
    </rPh>
    <phoneticPr fontId="22"/>
  </si>
  <si>
    <t>データセンター</t>
    <phoneticPr fontId="22"/>
  </si>
  <si>
    <t>kg-CO2/㎡</t>
    <phoneticPr fontId="66"/>
  </si>
  <si>
    <t>固有の原単位を計算する上で用いる平均原単位
[kg-CO2/㎡]</t>
    <rPh sb="0" eb="2">
      <t>コユウ</t>
    </rPh>
    <rPh sb="3" eb="6">
      <t>ゲンタンイ</t>
    </rPh>
    <rPh sb="7" eb="9">
      <t>ケイサン</t>
    </rPh>
    <rPh sb="11" eb="12">
      <t>ウエ</t>
    </rPh>
    <rPh sb="13" eb="14">
      <t>モチ</t>
    </rPh>
    <phoneticPr fontId="22"/>
  </si>
  <si>
    <t>室用途</t>
    <rPh sb="0" eb="1">
      <t>シツ</t>
    </rPh>
    <rPh sb="1" eb="3">
      <t>ヨウト</t>
    </rPh>
    <phoneticPr fontId="66"/>
  </si>
  <si>
    <t>A</t>
    <phoneticPr fontId="66"/>
  </si>
  <si>
    <t>B</t>
    <phoneticPr fontId="66"/>
  </si>
  <si>
    <t>C</t>
    <phoneticPr fontId="66"/>
  </si>
  <si>
    <t>直管形蛍光ﾗﾝﾌﾟHf（FHF,FHC）</t>
    <phoneticPr fontId="66"/>
  </si>
  <si>
    <t>高効率LED（120lm/W以上）</t>
    <rPh sb="14" eb="16">
      <t>イジョウ</t>
    </rPh>
    <phoneticPr fontId="66"/>
  </si>
  <si>
    <t>直管形蛍光ﾗﾝﾌﾟFL,FCL</t>
  </si>
  <si>
    <t>直管形蛍光ﾗﾝﾌﾟFLR,FSL</t>
  </si>
  <si>
    <t>ベンチマーク区分以外</t>
    <rPh sb="6" eb="8">
      <t>クブン</t>
    </rPh>
    <rPh sb="8" eb="10">
      <t>イガイ</t>
    </rPh>
    <phoneticPr fontId="22"/>
  </si>
  <si>
    <t>ベンチマーク区分名</t>
    <rPh sb="6" eb="8">
      <t>クブン</t>
    </rPh>
    <rPh sb="8" eb="9">
      <t>メイ</t>
    </rPh>
    <phoneticPr fontId="22"/>
  </si>
  <si>
    <t>全負荷相当運転時間　[h/年]</t>
    <rPh sb="0" eb="1">
      <t>ゼン</t>
    </rPh>
    <rPh sb="1" eb="3">
      <t>フカ</t>
    </rPh>
    <rPh sb="3" eb="5">
      <t>ソウトウ</t>
    </rPh>
    <rPh sb="5" eb="7">
      <t>ウンテン</t>
    </rPh>
    <rPh sb="7" eb="9">
      <t>ジカン</t>
    </rPh>
    <rPh sb="13" eb="14">
      <t>ネン</t>
    </rPh>
    <phoneticPr fontId="22"/>
  </si>
  <si>
    <t>平均原単位
[kg-CO2/㎡]</t>
    <rPh sb="0" eb="2">
      <t>ヘイキン</t>
    </rPh>
    <rPh sb="2" eb="5">
      <t>ゲンタンイ</t>
    </rPh>
    <phoneticPr fontId="66"/>
  </si>
  <si>
    <t>年度</t>
    <rPh sb="0" eb="1">
      <t>ネン</t>
    </rPh>
    <rPh sb="1" eb="2">
      <t>ド</t>
    </rPh>
    <phoneticPr fontId="64"/>
  </si>
  <si>
    <t>No.3</t>
    <phoneticPr fontId="31"/>
  </si>
  <si>
    <r>
      <t>kg-CO</t>
    </r>
    <r>
      <rPr>
        <sz val="6"/>
        <color theme="1"/>
        <rFont val="ＭＳ Ｐゴシック"/>
        <family val="3"/>
        <charset val="128"/>
        <scheme val="minor"/>
      </rPr>
      <t>2</t>
    </r>
    <phoneticPr fontId="22"/>
  </si>
  <si>
    <t>㎡</t>
    <phoneticPr fontId="22"/>
  </si>
  <si>
    <t>共用部
面積</t>
    <rPh sb="0" eb="2">
      <t>キョウヨウ</t>
    </rPh>
    <rPh sb="2" eb="3">
      <t>ブ</t>
    </rPh>
    <rPh sb="4" eb="6">
      <t>メンセキ</t>
    </rPh>
    <phoneticPr fontId="22"/>
  </si>
  <si>
    <r>
      <t>kg-CO</t>
    </r>
    <r>
      <rPr>
        <sz val="6"/>
        <color theme="1"/>
        <rFont val="ＭＳ Ｐゴシック"/>
        <family val="3"/>
        <charset val="128"/>
        <scheme val="minor"/>
      </rPr>
      <t>2</t>
    </r>
    <phoneticPr fontId="22"/>
  </si>
  <si>
    <r>
      <t>固有の原単位を計算する上で用いる平均原単位
[kg-CO</t>
    </r>
    <r>
      <rPr>
        <sz val="6"/>
        <color theme="1"/>
        <rFont val="ＭＳ Ｐゴシック"/>
        <family val="3"/>
        <charset val="128"/>
        <scheme val="minor"/>
      </rPr>
      <t>2</t>
    </r>
    <r>
      <rPr>
        <sz val="8"/>
        <color theme="1"/>
        <rFont val="ＭＳ Ｐゴシック"/>
        <family val="3"/>
        <charset val="128"/>
        <scheme val="minor"/>
      </rPr>
      <t>/㎡]</t>
    </r>
    <rPh sb="0" eb="2">
      <t>コユウ</t>
    </rPh>
    <rPh sb="3" eb="6">
      <t>ゲンタンイ</t>
    </rPh>
    <rPh sb="7" eb="9">
      <t>ケイサン</t>
    </rPh>
    <rPh sb="11" eb="12">
      <t>ウエ</t>
    </rPh>
    <rPh sb="13" eb="14">
      <t>モチ</t>
    </rPh>
    <phoneticPr fontId="22"/>
  </si>
  <si>
    <r>
      <t>平均原単位
[kg-CO</t>
    </r>
    <r>
      <rPr>
        <sz val="6"/>
        <color theme="1"/>
        <rFont val="ＭＳ Ｐゴシック"/>
        <family val="3"/>
        <charset val="128"/>
        <scheme val="minor"/>
      </rPr>
      <t>2</t>
    </r>
    <r>
      <rPr>
        <sz val="9"/>
        <color theme="1"/>
        <rFont val="ＭＳ Ｐゴシック"/>
        <family val="3"/>
        <charset val="128"/>
        <scheme val="minor"/>
      </rPr>
      <t>/㎡]</t>
    </r>
    <phoneticPr fontId="22"/>
  </si>
  <si>
    <t>* CASBEE認証を取得している</t>
    <rPh sb="8" eb="10">
      <t>ニンショウ</t>
    </rPh>
    <phoneticPr fontId="66"/>
  </si>
  <si>
    <t>* 建築物省エネ法の基準レベル以上の省エネ性能を有し、BELSラベルを取得している</t>
    <rPh sb="2" eb="5">
      <t>ケンチクブツ</t>
    </rPh>
    <rPh sb="5" eb="6">
      <t>ショウ</t>
    </rPh>
    <rPh sb="24" eb="25">
      <t>ユウ</t>
    </rPh>
    <phoneticPr fontId="66"/>
  </si>
  <si>
    <t>* 建築物省エネ法第36条認定を取得し、省エネ基準適合認定マークを取得している</t>
    <rPh sb="2" eb="5">
      <t>ケンチクブツ</t>
    </rPh>
    <rPh sb="5" eb="6">
      <t>ショウ</t>
    </rPh>
    <rPh sb="33" eb="35">
      <t>シュトク</t>
    </rPh>
    <phoneticPr fontId="66"/>
  </si>
  <si>
    <t>←省エネ改修評価書にラベリングを表示したい場合のみ選択</t>
    <rPh sb="1" eb="2">
      <t>ショウ</t>
    </rPh>
    <rPh sb="4" eb="6">
      <t>カイシュウ</t>
    </rPh>
    <rPh sb="6" eb="9">
      <t>ヒョウカショ</t>
    </rPh>
    <rPh sb="25" eb="27">
      <t>センタク</t>
    </rPh>
    <phoneticPr fontId="66"/>
  </si>
  <si>
    <t>No.2</t>
    <phoneticPr fontId="66"/>
  </si>
  <si>
    <t>■削減効果の大きい削減対策項目</t>
    <rPh sb="1" eb="3">
      <t>サクゲン</t>
    </rPh>
    <rPh sb="3" eb="5">
      <t>コウカ</t>
    </rPh>
    <rPh sb="6" eb="7">
      <t>オオ</t>
    </rPh>
    <rPh sb="9" eb="11">
      <t>サクゲン</t>
    </rPh>
    <rPh sb="11" eb="12">
      <t>タイ</t>
    </rPh>
    <rPh sb="12" eb="13">
      <t>サク</t>
    </rPh>
    <rPh sb="13" eb="15">
      <t>コウモク</t>
    </rPh>
    <phoneticPr fontId="64"/>
  </si>
  <si>
    <t>改修項目4</t>
    <rPh sb="0" eb="2">
      <t>カイシュウ</t>
    </rPh>
    <rPh sb="2" eb="4">
      <t>コウモク</t>
    </rPh>
    <phoneticPr fontId="66"/>
  </si>
  <si>
    <t>高効率熱源機器の導入</t>
    <rPh sb="0" eb="3">
      <t>コウコウリツ</t>
    </rPh>
    <rPh sb="3" eb="5">
      <t>ネツゲン</t>
    </rPh>
    <rPh sb="5" eb="7">
      <t>キキ</t>
    </rPh>
    <rPh sb="8" eb="10">
      <t>ドウニュウ</t>
    </rPh>
    <phoneticPr fontId="64"/>
  </si>
  <si>
    <t>高効率冷却塔の導入</t>
    <rPh sb="0" eb="3">
      <t>コウコウリツ</t>
    </rPh>
    <rPh sb="3" eb="5">
      <t>レイキャク</t>
    </rPh>
    <rPh sb="5" eb="6">
      <t>トウ</t>
    </rPh>
    <rPh sb="7" eb="9">
      <t>ドウニュウ</t>
    </rPh>
    <phoneticPr fontId="64"/>
  </si>
  <si>
    <t>高効率空調用ポンプの導入</t>
    <rPh sb="0" eb="3">
      <t>コウコウリツ</t>
    </rPh>
    <rPh sb="3" eb="6">
      <t>クウチョウヨウ</t>
    </rPh>
    <rPh sb="10" eb="12">
      <t>ドウニュウ</t>
    </rPh>
    <phoneticPr fontId="64"/>
  </si>
  <si>
    <t>空調用ポンプの省エネ制御の導入</t>
    <rPh sb="0" eb="3">
      <t>クウチョウヨウ</t>
    </rPh>
    <rPh sb="7" eb="8">
      <t>ショウ</t>
    </rPh>
    <rPh sb="10" eb="12">
      <t>セイギョ</t>
    </rPh>
    <rPh sb="13" eb="15">
      <t>ドウニュウ</t>
    </rPh>
    <phoneticPr fontId="64"/>
  </si>
  <si>
    <t>高効率空調機の導入</t>
    <rPh sb="0" eb="3">
      <t>コウコウリツ</t>
    </rPh>
    <rPh sb="3" eb="4">
      <t>クウ</t>
    </rPh>
    <rPh sb="4" eb="5">
      <t>チョウ</t>
    </rPh>
    <rPh sb="5" eb="6">
      <t>キ</t>
    </rPh>
    <rPh sb="7" eb="9">
      <t>ドウニュウ</t>
    </rPh>
    <phoneticPr fontId="64"/>
  </si>
  <si>
    <t>空調の省エネ制御の導入</t>
    <rPh sb="0" eb="2">
      <t>クウチョウ</t>
    </rPh>
    <rPh sb="3" eb="4">
      <t>ショウ</t>
    </rPh>
    <rPh sb="6" eb="8">
      <t>セイギョ</t>
    </rPh>
    <rPh sb="9" eb="11">
      <t>ドウニュウ</t>
    </rPh>
    <phoneticPr fontId="64"/>
  </si>
  <si>
    <t>照明の省エネ制御の導入</t>
    <rPh sb="0" eb="2">
      <t>ショウメイ</t>
    </rPh>
    <rPh sb="3" eb="4">
      <t>ショウ</t>
    </rPh>
    <rPh sb="6" eb="8">
      <t>セイギョ</t>
    </rPh>
    <rPh sb="9" eb="11">
      <t>ドウニュウ</t>
    </rPh>
    <phoneticPr fontId="64"/>
  </si>
  <si>
    <t>BELS認定</t>
    <rPh sb="4" eb="6">
      <t>ニンテイ</t>
    </rPh>
    <phoneticPr fontId="64"/>
  </si>
  <si>
    <r>
      <t>■L</t>
    </r>
    <r>
      <rPr>
        <sz val="11"/>
        <color theme="1"/>
        <rFont val="ＭＳ Ｐゴシック"/>
        <family val="2"/>
        <charset val="128"/>
        <scheme val="minor"/>
      </rPr>
      <t>ED範囲</t>
    </r>
    <rPh sb="4" eb="6">
      <t>ハンイ</t>
    </rPh>
    <phoneticPr fontId="66"/>
  </si>
  <si>
    <t>導入範囲</t>
    <rPh sb="0" eb="2">
      <t>ドウニュウ</t>
    </rPh>
    <rPh sb="2" eb="4">
      <t>ハンイ</t>
    </rPh>
    <phoneticPr fontId="66"/>
  </si>
  <si>
    <t>導入範囲</t>
    <rPh sb="0" eb="2">
      <t>ドウニュウ</t>
    </rPh>
    <rPh sb="2" eb="4">
      <t>ハンイ</t>
    </rPh>
    <phoneticPr fontId="64"/>
  </si>
  <si>
    <t>CASBEE星非表示</t>
    <rPh sb="6" eb="7">
      <t>ホシ</t>
    </rPh>
    <phoneticPr fontId="64"/>
  </si>
  <si>
    <t>★非表示</t>
    <rPh sb="1" eb="4">
      <t>ヒヒョウジ</t>
    </rPh>
    <phoneticPr fontId="64"/>
  </si>
  <si>
    <t>■割合合計</t>
    <rPh sb="1" eb="3">
      <t>ワリアイ</t>
    </rPh>
    <rPh sb="3" eb="5">
      <t>ゴウケイ</t>
    </rPh>
    <phoneticPr fontId="66"/>
  </si>
  <si>
    <t>割合0</t>
    <rPh sb="0" eb="2">
      <t>ワリアイ</t>
    </rPh>
    <phoneticPr fontId="64"/>
  </si>
  <si>
    <t>■建物用途</t>
    <rPh sb="1" eb="3">
      <t>タテモノ</t>
    </rPh>
    <rPh sb="3" eb="5">
      <t>ヨウト</t>
    </rPh>
    <phoneticPr fontId="22"/>
  </si>
  <si>
    <t>表示</t>
    <rPh sb="0" eb="2">
      <t>ヒョウジ</t>
    </rPh>
    <phoneticPr fontId="22"/>
  </si>
  <si>
    <t>↓クリックして外観写真を挿入</t>
    <rPh sb="7" eb="9">
      <t>ガイカン</t>
    </rPh>
    <rPh sb="9" eb="11">
      <t>シャシン</t>
    </rPh>
    <rPh sb="12" eb="14">
      <t>ソウニュウ</t>
    </rPh>
    <phoneticPr fontId="66"/>
  </si>
  <si>
    <t>平均原単位
[kg-CO2/㎡]</t>
    <phoneticPr fontId="22"/>
  </si>
  <si>
    <t>㎡</t>
    <phoneticPr fontId="66"/>
  </si>
  <si>
    <t>地上</t>
    <rPh sb="0" eb="2">
      <t>チジョウ</t>
    </rPh>
    <phoneticPr fontId="66"/>
  </si>
  <si>
    <t>地下</t>
    <rPh sb="0" eb="2">
      <t>チカ</t>
    </rPh>
    <phoneticPr fontId="66"/>
  </si>
  <si>
    <t>階</t>
    <rPh sb="0" eb="1">
      <t>カイ</t>
    </rPh>
    <phoneticPr fontId="66"/>
  </si>
  <si>
    <t>～</t>
    <phoneticPr fontId="66"/>
  </si>
  <si>
    <t>LED（120lm/W未満）</t>
    <phoneticPr fontId="66"/>
  </si>
  <si>
    <t>ｺﾝﾊﾟｸﾄ形蛍光ﾗﾝﾌﾟHf（FHT,FHP）</t>
    <phoneticPr fontId="66"/>
  </si>
  <si>
    <t>←年度換算</t>
    <rPh sb="1" eb="3">
      <t>ネンド</t>
    </rPh>
    <rPh sb="3" eb="5">
      <t>カンサン</t>
    </rPh>
    <phoneticPr fontId="66"/>
  </si>
  <si>
    <t>No.</t>
    <phoneticPr fontId="66"/>
  </si>
  <si>
    <t>←省エネ改修評価書に電力、都市ガスの削減効果を表示したい場合のみチェックボックスにチェック</t>
    <rPh sb="1" eb="2">
      <t>ショウ</t>
    </rPh>
    <rPh sb="4" eb="6">
      <t>カイシュウ</t>
    </rPh>
    <rPh sb="6" eb="9">
      <t>ヒョウカショ</t>
    </rPh>
    <rPh sb="10" eb="12">
      <t>デンリョク</t>
    </rPh>
    <rPh sb="13" eb="15">
      <t>トシ</t>
    </rPh>
    <rPh sb="18" eb="20">
      <t>サクゲン</t>
    </rPh>
    <rPh sb="20" eb="22">
      <t>コウカ</t>
    </rPh>
    <rPh sb="23" eb="25">
      <t>ヒョウジ</t>
    </rPh>
    <rPh sb="28" eb="30">
      <t>バアイ</t>
    </rPh>
    <phoneticPr fontId="66"/>
  </si>
  <si>
    <t>延床面積(住居除く）</t>
    <rPh sb="0" eb="1">
      <t>ノ</t>
    </rPh>
    <rPh sb="1" eb="4">
      <t>ユカメンセキ</t>
    </rPh>
    <rPh sb="5" eb="7">
      <t>ジュウキョ</t>
    </rPh>
    <rPh sb="7" eb="8">
      <t>ノゾ</t>
    </rPh>
    <phoneticPr fontId="22"/>
  </si>
  <si>
    <t>貸室別の省エネ性能</t>
    <rPh sb="0" eb="2">
      <t>カシシツ</t>
    </rPh>
    <rPh sb="2" eb="3">
      <t>ベツ</t>
    </rPh>
    <rPh sb="4" eb="5">
      <t>ショウ</t>
    </rPh>
    <rPh sb="7" eb="9">
      <t>セイノウ</t>
    </rPh>
    <phoneticPr fontId="22"/>
  </si>
  <si>
    <t>建物名</t>
    <rPh sb="0" eb="2">
      <t>タテモノ</t>
    </rPh>
    <rPh sb="2" eb="3">
      <t>メイ</t>
    </rPh>
    <phoneticPr fontId="64"/>
  </si>
  <si>
    <t>No.</t>
    <phoneticPr fontId="64"/>
  </si>
  <si>
    <t>貸室名称</t>
    <rPh sb="0" eb="2">
      <t>カシシツ</t>
    </rPh>
    <rPh sb="2" eb="4">
      <t>メイショウ</t>
    </rPh>
    <phoneticPr fontId="64"/>
  </si>
  <si>
    <t>貸室面積
[㎡]</t>
    <rPh sb="0" eb="2">
      <t>カシシツ</t>
    </rPh>
    <rPh sb="2" eb="4">
      <t>メンセキ</t>
    </rPh>
    <phoneticPr fontId="66"/>
  </si>
  <si>
    <t>貸室用途</t>
    <rPh sb="0" eb="2">
      <t>カシシツ</t>
    </rPh>
    <rPh sb="2" eb="4">
      <t>ヨウト</t>
    </rPh>
    <phoneticPr fontId="64"/>
  </si>
  <si>
    <t>効率グレード</t>
    <rPh sb="0" eb="2">
      <t>コウリツ</t>
    </rPh>
    <phoneticPr fontId="64"/>
  </si>
  <si>
    <t>照明制御</t>
    <rPh sb="0" eb="2">
      <t>ショウメイ</t>
    </rPh>
    <rPh sb="2" eb="4">
      <t>セイギョ</t>
    </rPh>
    <phoneticPr fontId="64"/>
  </si>
  <si>
    <t>空調性能</t>
    <rPh sb="0" eb="2">
      <t>クウチョウ</t>
    </rPh>
    <rPh sb="2" eb="4">
      <t>セイノウ</t>
    </rPh>
    <phoneticPr fontId="64"/>
  </si>
  <si>
    <t>照明性能</t>
    <rPh sb="0" eb="2">
      <t>ショウメイ</t>
    </rPh>
    <rPh sb="2" eb="4">
      <t>セイノウ</t>
    </rPh>
    <phoneticPr fontId="64"/>
  </si>
  <si>
    <t>備考</t>
    <rPh sb="0" eb="2">
      <t>ビコウ</t>
    </rPh>
    <phoneticPr fontId="64"/>
  </si>
  <si>
    <t>A</t>
  </si>
  <si>
    <t>オフィス</t>
  </si>
  <si>
    <t>★オフィス</t>
    <phoneticPr fontId="66"/>
  </si>
  <si>
    <t>★物販店</t>
    <rPh sb="1" eb="4">
      <t>ブッパンテン</t>
    </rPh>
    <phoneticPr fontId="66"/>
  </si>
  <si>
    <t>★飲食店</t>
    <rPh sb="1" eb="3">
      <t>インショク</t>
    </rPh>
    <rPh sb="3" eb="4">
      <t>テン</t>
    </rPh>
    <phoneticPr fontId="66"/>
  </si>
  <si>
    <t>★その他</t>
    <rPh sb="3" eb="4">
      <t>ホカ</t>
    </rPh>
    <phoneticPr fontId="66"/>
  </si>
  <si>
    <t>○</t>
  </si>
  <si>
    <t>星の数</t>
    <rPh sb="0" eb="1">
      <t>ホシ</t>
    </rPh>
    <rPh sb="2" eb="3">
      <t>カズ</t>
    </rPh>
    <phoneticPr fontId="64"/>
  </si>
  <si>
    <t>空調</t>
    <rPh sb="0" eb="2">
      <t>クウチョウ</t>
    </rPh>
    <phoneticPr fontId="64"/>
  </si>
  <si>
    <t>照明</t>
    <rPh sb="0" eb="2">
      <t>ショウメイ</t>
    </rPh>
    <phoneticPr fontId="64"/>
  </si>
  <si>
    <t>B</t>
  </si>
  <si>
    <t>電気式EHP</t>
  </si>
  <si>
    <t>テキスト表示</t>
    <rPh sb="4" eb="6">
      <t>ヒョウジ</t>
    </rPh>
    <phoneticPr fontId="64"/>
  </si>
  <si>
    <t>選択切替え</t>
    <rPh sb="0" eb="2">
      <t>センタク</t>
    </rPh>
    <rPh sb="2" eb="3">
      <t>キ</t>
    </rPh>
    <rPh sb="3" eb="4">
      <t>カ</t>
    </rPh>
    <phoneticPr fontId="64"/>
  </si>
  <si>
    <t>貸室面積</t>
    <rPh sb="0" eb="2">
      <t>カシシツ</t>
    </rPh>
    <rPh sb="2" eb="4">
      <t>メンセキ</t>
    </rPh>
    <phoneticPr fontId="64"/>
  </si>
  <si>
    <t>備考欄</t>
    <rPh sb="0" eb="2">
      <t>ビコウ</t>
    </rPh>
    <rPh sb="2" eb="3">
      <t>ラン</t>
    </rPh>
    <phoneticPr fontId="64"/>
  </si>
  <si>
    <t>㎡</t>
    <phoneticPr fontId="64"/>
  </si>
  <si>
    <t>直管形蛍光ﾗﾝﾌﾟHf（FHF,FHC）</t>
  </si>
  <si>
    <t>制御</t>
    <rPh sb="0" eb="2">
      <t>セイギョ</t>
    </rPh>
    <phoneticPr fontId="64"/>
  </si>
  <si>
    <t>_1星の数空調</t>
    <rPh sb="2" eb="3">
      <t>ホシ</t>
    </rPh>
    <rPh sb="4" eb="5">
      <t>カズ</t>
    </rPh>
    <rPh sb="5" eb="7">
      <t>クウチョウ</t>
    </rPh>
    <phoneticPr fontId="64"/>
  </si>
  <si>
    <t>_2星の数空調</t>
    <rPh sb="2" eb="3">
      <t>ホシ</t>
    </rPh>
    <rPh sb="4" eb="5">
      <t>カズ</t>
    </rPh>
    <rPh sb="5" eb="7">
      <t>クウチョウ</t>
    </rPh>
    <phoneticPr fontId="64"/>
  </si>
  <si>
    <t>_3星の数空調</t>
    <rPh sb="2" eb="3">
      <t>ホシ</t>
    </rPh>
    <rPh sb="4" eb="5">
      <t>カズ</t>
    </rPh>
    <rPh sb="5" eb="7">
      <t>クウチョウ</t>
    </rPh>
    <phoneticPr fontId="64"/>
  </si>
  <si>
    <t>_4星の数空調</t>
    <rPh sb="2" eb="3">
      <t>ホシ</t>
    </rPh>
    <rPh sb="4" eb="5">
      <t>カズ</t>
    </rPh>
    <rPh sb="5" eb="7">
      <t>クウチョウ</t>
    </rPh>
    <phoneticPr fontId="64"/>
  </si>
  <si>
    <t>_5星の数空調</t>
    <rPh sb="2" eb="3">
      <t>ホシ</t>
    </rPh>
    <rPh sb="4" eb="5">
      <t>カズ</t>
    </rPh>
    <rPh sb="5" eb="7">
      <t>クウチョウ</t>
    </rPh>
    <phoneticPr fontId="64"/>
  </si>
  <si>
    <t>_6星の数空調</t>
    <rPh sb="2" eb="3">
      <t>ホシ</t>
    </rPh>
    <rPh sb="4" eb="5">
      <t>カズ</t>
    </rPh>
    <rPh sb="5" eb="7">
      <t>クウチョウ</t>
    </rPh>
    <phoneticPr fontId="64"/>
  </si>
  <si>
    <t>_7星の数空調</t>
    <rPh sb="2" eb="3">
      <t>ホシ</t>
    </rPh>
    <rPh sb="4" eb="5">
      <t>カズ</t>
    </rPh>
    <rPh sb="5" eb="7">
      <t>クウチョウ</t>
    </rPh>
    <phoneticPr fontId="64"/>
  </si>
  <si>
    <t>_8星の数空調</t>
    <rPh sb="2" eb="3">
      <t>ホシ</t>
    </rPh>
    <rPh sb="4" eb="5">
      <t>カズ</t>
    </rPh>
    <rPh sb="5" eb="7">
      <t>クウチョウ</t>
    </rPh>
    <phoneticPr fontId="64"/>
  </si>
  <si>
    <t>_9星の数空調</t>
    <rPh sb="2" eb="3">
      <t>ホシ</t>
    </rPh>
    <rPh sb="4" eb="5">
      <t>カズ</t>
    </rPh>
    <rPh sb="5" eb="7">
      <t>クウチョウ</t>
    </rPh>
    <phoneticPr fontId="64"/>
  </si>
  <si>
    <t>_10星の数空調</t>
    <rPh sb="3" eb="4">
      <t>ホシ</t>
    </rPh>
    <rPh sb="5" eb="6">
      <t>カズ</t>
    </rPh>
    <rPh sb="6" eb="8">
      <t>クウチョウ</t>
    </rPh>
    <phoneticPr fontId="64"/>
  </si>
  <si>
    <t>_11星の数空調</t>
    <rPh sb="3" eb="4">
      <t>ホシ</t>
    </rPh>
    <rPh sb="5" eb="6">
      <t>カズ</t>
    </rPh>
    <rPh sb="6" eb="8">
      <t>クウチョウ</t>
    </rPh>
    <phoneticPr fontId="64"/>
  </si>
  <si>
    <t>_12星の数空調</t>
    <rPh sb="3" eb="4">
      <t>ホシ</t>
    </rPh>
    <rPh sb="5" eb="6">
      <t>カズ</t>
    </rPh>
    <rPh sb="6" eb="8">
      <t>クウチョウ</t>
    </rPh>
    <phoneticPr fontId="64"/>
  </si>
  <si>
    <t>_13星の数空調</t>
    <rPh sb="3" eb="4">
      <t>ホシ</t>
    </rPh>
    <rPh sb="5" eb="6">
      <t>カズ</t>
    </rPh>
    <rPh sb="6" eb="8">
      <t>クウチョウ</t>
    </rPh>
    <phoneticPr fontId="64"/>
  </si>
  <si>
    <t>_14星の数空調</t>
    <rPh sb="3" eb="4">
      <t>ホシ</t>
    </rPh>
    <rPh sb="5" eb="6">
      <t>カズ</t>
    </rPh>
    <rPh sb="6" eb="8">
      <t>クウチョウ</t>
    </rPh>
    <phoneticPr fontId="64"/>
  </si>
  <si>
    <t>_15星の数空調</t>
    <rPh sb="3" eb="4">
      <t>ホシ</t>
    </rPh>
    <rPh sb="5" eb="6">
      <t>カズ</t>
    </rPh>
    <rPh sb="6" eb="8">
      <t>クウチョウ</t>
    </rPh>
    <phoneticPr fontId="64"/>
  </si>
  <si>
    <t>_16星の数空調</t>
    <rPh sb="3" eb="4">
      <t>ホシ</t>
    </rPh>
    <rPh sb="5" eb="6">
      <t>カズ</t>
    </rPh>
    <rPh sb="6" eb="8">
      <t>クウチョウ</t>
    </rPh>
    <phoneticPr fontId="64"/>
  </si>
  <si>
    <t>_17星の数空調</t>
    <rPh sb="3" eb="4">
      <t>ホシ</t>
    </rPh>
    <rPh sb="5" eb="6">
      <t>カズ</t>
    </rPh>
    <rPh sb="6" eb="8">
      <t>クウチョウ</t>
    </rPh>
    <phoneticPr fontId="64"/>
  </si>
  <si>
    <t>_18星の数空調</t>
    <rPh sb="3" eb="4">
      <t>ホシ</t>
    </rPh>
    <rPh sb="5" eb="6">
      <t>カズ</t>
    </rPh>
    <rPh sb="6" eb="8">
      <t>クウチョウ</t>
    </rPh>
    <phoneticPr fontId="64"/>
  </si>
  <si>
    <t>_19星の数空調</t>
    <rPh sb="3" eb="4">
      <t>ホシ</t>
    </rPh>
    <rPh sb="5" eb="6">
      <t>カズ</t>
    </rPh>
    <rPh sb="6" eb="8">
      <t>クウチョウ</t>
    </rPh>
    <phoneticPr fontId="64"/>
  </si>
  <si>
    <t>_20星の数空調</t>
    <rPh sb="3" eb="4">
      <t>ホシ</t>
    </rPh>
    <rPh sb="5" eb="6">
      <t>カズ</t>
    </rPh>
    <rPh sb="6" eb="8">
      <t>クウチョウ</t>
    </rPh>
    <phoneticPr fontId="64"/>
  </si>
  <si>
    <t>_1星の数照明</t>
    <rPh sb="2" eb="3">
      <t>ホシ</t>
    </rPh>
    <rPh sb="4" eb="5">
      <t>カズ</t>
    </rPh>
    <rPh sb="5" eb="7">
      <t>ショウメイ</t>
    </rPh>
    <phoneticPr fontId="64"/>
  </si>
  <si>
    <t>_2星の数照明</t>
    <rPh sb="2" eb="3">
      <t>ホシ</t>
    </rPh>
    <rPh sb="4" eb="5">
      <t>カズ</t>
    </rPh>
    <rPh sb="5" eb="7">
      <t>ショウメイ</t>
    </rPh>
    <phoneticPr fontId="64"/>
  </si>
  <si>
    <t>_3星の数照明</t>
    <rPh sb="2" eb="3">
      <t>ホシ</t>
    </rPh>
    <rPh sb="4" eb="5">
      <t>カズ</t>
    </rPh>
    <rPh sb="5" eb="7">
      <t>ショウメイ</t>
    </rPh>
    <phoneticPr fontId="64"/>
  </si>
  <si>
    <t>_4星の数照明</t>
    <rPh sb="2" eb="3">
      <t>ホシ</t>
    </rPh>
    <rPh sb="4" eb="5">
      <t>カズ</t>
    </rPh>
    <rPh sb="5" eb="7">
      <t>ショウメイ</t>
    </rPh>
    <phoneticPr fontId="64"/>
  </si>
  <si>
    <t>_5星の数照明</t>
    <rPh sb="2" eb="3">
      <t>ホシ</t>
    </rPh>
    <rPh sb="4" eb="5">
      <t>カズ</t>
    </rPh>
    <rPh sb="5" eb="7">
      <t>ショウメイ</t>
    </rPh>
    <phoneticPr fontId="64"/>
  </si>
  <si>
    <t>_6星の数照明</t>
    <rPh sb="2" eb="3">
      <t>ホシ</t>
    </rPh>
    <rPh sb="4" eb="5">
      <t>カズ</t>
    </rPh>
    <rPh sb="5" eb="7">
      <t>ショウメイ</t>
    </rPh>
    <phoneticPr fontId="64"/>
  </si>
  <si>
    <t>_7星の数照明</t>
    <rPh sb="2" eb="3">
      <t>ホシ</t>
    </rPh>
    <rPh sb="4" eb="5">
      <t>カズ</t>
    </rPh>
    <rPh sb="5" eb="7">
      <t>ショウメイ</t>
    </rPh>
    <phoneticPr fontId="64"/>
  </si>
  <si>
    <t>_8星の数照明</t>
    <rPh sb="2" eb="3">
      <t>ホシ</t>
    </rPh>
    <rPh sb="4" eb="5">
      <t>カズ</t>
    </rPh>
    <rPh sb="5" eb="7">
      <t>ショウメイ</t>
    </rPh>
    <phoneticPr fontId="64"/>
  </si>
  <si>
    <t>_9星の数照明</t>
    <rPh sb="2" eb="3">
      <t>ホシ</t>
    </rPh>
    <rPh sb="4" eb="5">
      <t>カズ</t>
    </rPh>
    <rPh sb="5" eb="7">
      <t>ショウメイ</t>
    </rPh>
    <phoneticPr fontId="64"/>
  </si>
  <si>
    <t>_10星の数照明</t>
    <rPh sb="3" eb="4">
      <t>ホシ</t>
    </rPh>
    <rPh sb="5" eb="6">
      <t>カズ</t>
    </rPh>
    <rPh sb="6" eb="8">
      <t>ショウメイ</t>
    </rPh>
    <phoneticPr fontId="64"/>
  </si>
  <si>
    <t>_11星の数照明</t>
    <rPh sb="3" eb="4">
      <t>ホシ</t>
    </rPh>
    <rPh sb="5" eb="6">
      <t>カズ</t>
    </rPh>
    <rPh sb="6" eb="8">
      <t>ショウメイ</t>
    </rPh>
    <phoneticPr fontId="64"/>
  </si>
  <si>
    <t>_12星の数照明</t>
    <rPh sb="3" eb="4">
      <t>ホシ</t>
    </rPh>
    <rPh sb="5" eb="6">
      <t>カズ</t>
    </rPh>
    <rPh sb="6" eb="8">
      <t>ショウメイ</t>
    </rPh>
    <phoneticPr fontId="64"/>
  </si>
  <si>
    <t>_13星の数照明</t>
    <rPh sb="3" eb="4">
      <t>ホシ</t>
    </rPh>
    <rPh sb="5" eb="6">
      <t>カズ</t>
    </rPh>
    <rPh sb="6" eb="8">
      <t>ショウメイ</t>
    </rPh>
    <phoneticPr fontId="64"/>
  </si>
  <si>
    <t>_14星の数照明</t>
    <rPh sb="3" eb="4">
      <t>ホシ</t>
    </rPh>
    <rPh sb="5" eb="6">
      <t>カズ</t>
    </rPh>
    <rPh sb="6" eb="8">
      <t>ショウメイ</t>
    </rPh>
    <phoneticPr fontId="64"/>
  </si>
  <si>
    <t>_15星の数照明</t>
    <rPh sb="3" eb="4">
      <t>ホシ</t>
    </rPh>
    <rPh sb="5" eb="6">
      <t>カズ</t>
    </rPh>
    <rPh sb="6" eb="8">
      <t>ショウメイ</t>
    </rPh>
    <phoneticPr fontId="64"/>
  </si>
  <si>
    <t>_16星の数照明</t>
    <rPh sb="3" eb="4">
      <t>ホシ</t>
    </rPh>
    <rPh sb="5" eb="6">
      <t>カズ</t>
    </rPh>
    <rPh sb="6" eb="8">
      <t>ショウメイ</t>
    </rPh>
    <phoneticPr fontId="64"/>
  </si>
  <si>
    <t>_17星の数照明</t>
    <rPh sb="3" eb="4">
      <t>ホシ</t>
    </rPh>
    <rPh sb="5" eb="6">
      <t>カズ</t>
    </rPh>
    <rPh sb="6" eb="8">
      <t>ショウメイ</t>
    </rPh>
    <phoneticPr fontId="64"/>
  </si>
  <si>
    <t>_18星の数照明</t>
    <rPh sb="3" eb="4">
      <t>ホシ</t>
    </rPh>
    <rPh sb="5" eb="6">
      <t>カズ</t>
    </rPh>
    <rPh sb="6" eb="8">
      <t>ショウメイ</t>
    </rPh>
    <phoneticPr fontId="64"/>
  </si>
  <si>
    <t>_19星の数照明</t>
    <rPh sb="3" eb="4">
      <t>ホシ</t>
    </rPh>
    <rPh sb="5" eb="6">
      <t>カズ</t>
    </rPh>
    <rPh sb="6" eb="8">
      <t>ショウメイ</t>
    </rPh>
    <phoneticPr fontId="64"/>
  </si>
  <si>
    <t>_20星の数照明</t>
    <rPh sb="3" eb="4">
      <t>ホシ</t>
    </rPh>
    <rPh sb="5" eb="6">
      <t>カズ</t>
    </rPh>
    <rPh sb="6" eb="8">
      <t>ショウメイ</t>
    </rPh>
    <phoneticPr fontId="64"/>
  </si>
  <si>
    <t>_1照明制御</t>
    <rPh sb="2" eb="4">
      <t>ショウメイ</t>
    </rPh>
    <rPh sb="4" eb="6">
      <t>セイギョ</t>
    </rPh>
    <phoneticPr fontId="64"/>
  </si>
  <si>
    <t>_2照明制御</t>
    <rPh sb="2" eb="4">
      <t>ショウメイ</t>
    </rPh>
    <rPh sb="4" eb="6">
      <t>セイギョ</t>
    </rPh>
    <phoneticPr fontId="64"/>
  </si>
  <si>
    <t>_3照明制御</t>
    <rPh sb="2" eb="4">
      <t>ショウメイ</t>
    </rPh>
    <rPh sb="4" eb="6">
      <t>セイギョ</t>
    </rPh>
    <phoneticPr fontId="64"/>
  </si>
  <si>
    <t>_4照明制御</t>
    <rPh sb="2" eb="4">
      <t>ショウメイ</t>
    </rPh>
    <rPh sb="4" eb="6">
      <t>セイギョ</t>
    </rPh>
    <phoneticPr fontId="64"/>
  </si>
  <si>
    <t>_5照明制御</t>
    <rPh sb="2" eb="4">
      <t>ショウメイ</t>
    </rPh>
    <rPh sb="4" eb="6">
      <t>セイギョ</t>
    </rPh>
    <phoneticPr fontId="64"/>
  </si>
  <si>
    <t>_6照明制御</t>
    <rPh sb="2" eb="4">
      <t>ショウメイ</t>
    </rPh>
    <rPh sb="4" eb="6">
      <t>セイギョ</t>
    </rPh>
    <phoneticPr fontId="64"/>
  </si>
  <si>
    <t>_7照明制御</t>
    <rPh sb="2" eb="4">
      <t>ショウメイ</t>
    </rPh>
    <rPh sb="4" eb="6">
      <t>セイギョ</t>
    </rPh>
    <phoneticPr fontId="64"/>
  </si>
  <si>
    <t>_8照明制御</t>
    <rPh sb="2" eb="4">
      <t>ショウメイ</t>
    </rPh>
    <rPh sb="4" eb="6">
      <t>セイギョ</t>
    </rPh>
    <phoneticPr fontId="64"/>
  </si>
  <si>
    <t>_9照明制御</t>
    <rPh sb="2" eb="4">
      <t>ショウメイ</t>
    </rPh>
    <rPh sb="4" eb="6">
      <t>セイギョ</t>
    </rPh>
    <phoneticPr fontId="64"/>
  </si>
  <si>
    <t>_10照明制御</t>
    <rPh sb="3" eb="5">
      <t>ショウメイ</t>
    </rPh>
    <rPh sb="5" eb="7">
      <t>セイギョ</t>
    </rPh>
    <phoneticPr fontId="64"/>
  </si>
  <si>
    <t>_11照明制御</t>
    <rPh sb="3" eb="5">
      <t>ショウメイ</t>
    </rPh>
    <rPh sb="5" eb="7">
      <t>セイギョ</t>
    </rPh>
    <phoneticPr fontId="64"/>
  </si>
  <si>
    <t>_12照明制御</t>
    <rPh sb="3" eb="5">
      <t>ショウメイ</t>
    </rPh>
    <rPh sb="5" eb="7">
      <t>セイギョ</t>
    </rPh>
    <phoneticPr fontId="64"/>
  </si>
  <si>
    <t>_13照明制御</t>
    <rPh sb="3" eb="5">
      <t>ショウメイ</t>
    </rPh>
    <rPh sb="5" eb="7">
      <t>セイギョ</t>
    </rPh>
    <phoneticPr fontId="64"/>
  </si>
  <si>
    <t>_14照明制御</t>
    <rPh sb="3" eb="5">
      <t>ショウメイ</t>
    </rPh>
    <rPh sb="5" eb="7">
      <t>セイギョ</t>
    </rPh>
    <phoneticPr fontId="64"/>
  </si>
  <si>
    <t>_15照明制御</t>
    <rPh sb="3" eb="5">
      <t>ショウメイ</t>
    </rPh>
    <rPh sb="5" eb="7">
      <t>セイギョ</t>
    </rPh>
    <phoneticPr fontId="64"/>
  </si>
  <si>
    <t>_16照明制御</t>
    <rPh sb="3" eb="5">
      <t>ショウメイ</t>
    </rPh>
    <rPh sb="5" eb="7">
      <t>セイギョ</t>
    </rPh>
    <phoneticPr fontId="64"/>
  </si>
  <si>
    <t>_17照明制御</t>
    <rPh sb="3" eb="5">
      <t>ショウメイ</t>
    </rPh>
    <rPh sb="5" eb="7">
      <t>セイギョ</t>
    </rPh>
    <phoneticPr fontId="64"/>
  </si>
  <si>
    <t>_18照明制御</t>
    <rPh sb="3" eb="5">
      <t>ショウメイ</t>
    </rPh>
    <rPh sb="5" eb="7">
      <t>セイギョ</t>
    </rPh>
    <phoneticPr fontId="64"/>
  </si>
  <si>
    <t>_19照明制御</t>
    <rPh sb="3" eb="5">
      <t>ショウメイ</t>
    </rPh>
    <rPh sb="5" eb="7">
      <t>セイギョ</t>
    </rPh>
    <phoneticPr fontId="64"/>
  </si>
  <si>
    <t>_20照明制御</t>
    <rPh sb="3" eb="5">
      <t>ショウメイ</t>
    </rPh>
    <rPh sb="5" eb="7">
      <t>セイギョ</t>
    </rPh>
    <phoneticPr fontId="64"/>
  </si>
  <si>
    <t>_1空調導入範囲</t>
    <rPh sb="2" eb="4">
      <t>クウチョウ</t>
    </rPh>
    <rPh sb="4" eb="6">
      <t>ドウニュウ</t>
    </rPh>
    <rPh sb="6" eb="8">
      <t>ハンイ</t>
    </rPh>
    <phoneticPr fontId="64"/>
  </si>
  <si>
    <t>_2空調導入範囲</t>
    <rPh sb="2" eb="4">
      <t>クウチョウ</t>
    </rPh>
    <rPh sb="4" eb="6">
      <t>ドウニュウ</t>
    </rPh>
    <rPh sb="6" eb="8">
      <t>ハンイ</t>
    </rPh>
    <phoneticPr fontId="64"/>
  </si>
  <si>
    <t>_3空調導入範囲</t>
    <rPh sb="2" eb="4">
      <t>クウチョウ</t>
    </rPh>
    <rPh sb="4" eb="6">
      <t>ドウニュウ</t>
    </rPh>
    <rPh sb="6" eb="8">
      <t>ハンイ</t>
    </rPh>
    <phoneticPr fontId="64"/>
  </si>
  <si>
    <t>_4空調導入範囲</t>
    <rPh sb="2" eb="4">
      <t>クウチョウ</t>
    </rPh>
    <rPh sb="4" eb="6">
      <t>ドウニュウ</t>
    </rPh>
    <rPh sb="6" eb="8">
      <t>ハンイ</t>
    </rPh>
    <phoneticPr fontId="64"/>
  </si>
  <si>
    <t>_5空調導入範囲</t>
    <rPh sb="2" eb="4">
      <t>クウチョウ</t>
    </rPh>
    <rPh sb="4" eb="6">
      <t>ドウニュウ</t>
    </rPh>
    <rPh sb="6" eb="8">
      <t>ハンイ</t>
    </rPh>
    <phoneticPr fontId="64"/>
  </si>
  <si>
    <t>_6空調導入範囲</t>
    <rPh sb="2" eb="4">
      <t>クウチョウ</t>
    </rPh>
    <rPh sb="4" eb="6">
      <t>ドウニュウ</t>
    </rPh>
    <rPh sb="6" eb="8">
      <t>ハンイ</t>
    </rPh>
    <phoneticPr fontId="64"/>
  </si>
  <si>
    <t>_7空調導入範囲</t>
    <rPh sb="2" eb="4">
      <t>クウチョウ</t>
    </rPh>
    <rPh sb="4" eb="6">
      <t>ドウニュウ</t>
    </rPh>
    <rPh sb="6" eb="8">
      <t>ハンイ</t>
    </rPh>
    <phoneticPr fontId="64"/>
  </si>
  <si>
    <t>_8空調導入範囲</t>
    <rPh sb="2" eb="4">
      <t>クウチョウ</t>
    </rPh>
    <rPh sb="4" eb="6">
      <t>ドウニュウ</t>
    </rPh>
    <rPh sb="6" eb="8">
      <t>ハンイ</t>
    </rPh>
    <phoneticPr fontId="64"/>
  </si>
  <si>
    <t>_9空調導入範囲</t>
    <rPh sb="2" eb="4">
      <t>クウチョウ</t>
    </rPh>
    <rPh sb="4" eb="6">
      <t>ドウニュウ</t>
    </rPh>
    <rPh sb="6" eb="8">
      <t>ハンイ</t>
    </rPh>
    <phoneticPr fontId="64"/>
  </si>
  <si>
    <t>_10空調導入範囲</t>
    <rPh sb="3" eb="5">
      <t>クウチョウ</t>
    </rPh>
    <rPh sb="5" eb="7">
      <t>ドウニュウ</t>
    </rPh>
    <rPh sb="7" eb="9">
      <t>ハンイ</t>
    </rPh>
    <phoneticPr fontId="64"/>
  </si>
  <si>
    <t>_11空調導入範囲</t>
    <rPh sb="3" eb="5">
      <t>クウチョウ</t>
    </rPh>
    <rPh sb="5" eb="7">
      <t>ドウニュウ</t>
    </rPh>
    <rPh sb="7" eb="9">
      <t>ハンイ</t>
    </rPh>
    <phoneticPr fontId="64"/>
  </si>
  <si>
    <t>_12空調導入範囲</t>
    <rPh sb="3" eb="5">
      <t>クウチョウ</t>
    </rPh>
    <rPh sb="5" eb="7">
      <t>ドウニュウ</t>
    </rPh>
    <rPh sb="7" eb="9">
      <t>ハンイ</t>
    </rPh>
    <phoneticPr fontId="64"/>
  </si>
  <si>
    <t>_13空調導入範囲</t>
    <rPh sb="3" eb="5">
      <t>クウチョウ</t>
    </rPh>
    <rPh sb="5" eb="7">
      <t>ドウニュウ</t>
    </rPh>
    <rPh sb="7" eb="9">
      <t>ハンイ</t>
    </rPh>
    <phoneticPr fontId="64"/>
  </si>
  <si>
    <t>_14空調導入範囲</t>
    <rPh sb="3" eb="5">
      <t>クウチョウ</t>
    </rPh>
    <rPh sb="5" eb="7">
      <t>ドウニュウ</t>
    </rPh>
    <rPh sb="7" eb="9">
      <t>ハンイ</t>
    </rPh>
    <phoneticPr fontId="64"/>
  </si>
  <si>
    <t>_15空調導入範囲</t>
    <rPh sb="3" eb="5">
      <t>クウチョウ</t>
    </rPh>
    <rPh sb="5" eb="7">
      <t>ドウニュウ</t>
    </rPh>
    <rPh sb="7" eb="9">
      <t>ハンイ</t>
    </rPh>
    <phoneticPr fontId="64"/>
  </si>
  <si>
    <t>_16空調導入範囲</t>
    <rPh sb="3" eb="5">
      <t>クウチョウ</t>
    </rPh>
    <rPh sb="5" eb="7">
      <t>ドウニュウ</t>
    </rPh>
    <rPh sb="7" eb="9">
      <t>ハンイ</t>
    </rPh>
    <phoneticPr fontId="64"/>
  </si>
  <si>
    <t>_17空調導入範囲</t>
    <rPh sb="3" eb="5">
      <t>クウチョウ</t>
    </rPh>
    <rPh sb="5" eb="7">
      <t>ドウニュウ</t>
    </rPh>
    <rPh sb="7" eb="9">
      <t>ハンイ</t>
    </rPh>
    <phoneticPr fontId="64"/>
  </si>
  <si>
    <t>_18空調導入範囲</t>
    <rPh sb="3" eb="5">
      <t>クウチョウ</t>
    </rPh>
    <rPh sb="5" eb="7">
      <t>ドウニュウ</t>
    </rPh>
    <rPh sb="7" eb="9">
      <t>ハンイ</t>
    </rPh>
    <phoneticPr fontId="64"/>
  </si>
  <si>
    <t>_19空調導入範囲</t>
    <rPh sb="3" eb="5">
      <t>クウチョウ</t>
    </rPh>
    <rPh sb="5" eb="7">
      <t>ドウニュウ</t>
    </rPh>
    <rPh sb="7" eb="9">
      <t>ハンイ</t>
    </rPh>
    <phoneticPr fontId="64"/>
  </si>
  <si>
    <t>_20空調導入範囲</t>
    <rPh sb="3" eb="5">
      <t>クウチョウ</t>
    </rPh>
    <rPh sb="5" eb="7">
      <t>ドウニュウ</t>
    </rPh>
    <rPh sb="7" eb="9">
      <t>ハンイ</t>
    </rPh>
    <phoneticPr fontId="64"/>
  </si>
  <si>
    <t>_1照明導入範囲</t>
    <rPh sb="2" eb="4">
      <t>ショウメイ</t>
    </rPh>
    <rPh sb="4" eb="6">
      <t>ドウニュウ</t>
    </rPh>
    <rPh sb="6" eb="8">
      <t>ハンイ</t>
    </rPh>
    <phoneticPr fontId="64"/>
  </si>
  <si>
    <t>_2照明導入範囲</t>
    <rPh sb="2" eb="4">
      <t>ショウメイ</t>
    </rPh>
    <rPh sb="4" eb="6">
      <t>ドウニュウ</t>
    </rPh>
    <rPh sb="6" eb="8">
      <t>ハンイ</t>
    </rPh>
    <phoneticPr fontId="64"/>
  </si>
  <si>
    <t>_3照明導入範囲</t>
    <rPh sb="2" eb="4">
      <t>ショウメイ</t>
    </rPh>
    <rPh sb="4" eb="6">
      <t>ドウニュウ</t>
    </rPh>
    <rPh sb="6" eb="8">
      <t>ハンイ</t>
    </rPh>
    <phoneticPr fontId="64"/>
  </si>
  <si>
    <t>_4照明導入範囲</t>
    <rPh sb="2" eb="4">
      <t>ショウメイ</t>
    </rPh>
    <rPh sb="4" eb="6">
      <t>ドウニュウ</t>
    </rPh>
    <rPh sb="6" eb="8">
      <t>ハンイ</t>
    </rPh>
    <phoneticPr fontId="64"/>
  </si>
  <si>
    <t>_5照明導入範囲</t>
    <rPh sb="2" eb="4">
      <t>ショウメイ</t>
    </rPh>
    <rPh sb="4" eb="6">
      <t>ドウニュウ</t>
    </rPh>
    <rPh sb="6" eb="8">
      <t>ハンイ</t>
    </rPh>
    <phoneticPr fontId="64"/>
  </si>
  <si>
    <t>_6照明導入範囲</t>
    <rPh sb="2" eb="4">
      <t>ショウメイ</t>
    </rPh>
    <rPh sb="4" eb="6">
      <t>ドウニュウ</t>
    </rPh>
    <rPh sb="6" eb="8">
      <t>ハンイ</t>
    </rPh>
    <phoneticPr fontId="64"/>
  </si>
  <si>
    <t>_7照明導入範囲</t>
    <rPh sb="2" eb="4">
      <t>ショウメイ</t>
    </rPh>
    <rPh sb="4" eb="6">
      <t>ドウニュウ</t>
    </rPh>
    <rPh sb="6" eb="8">
      <t>ハンイ</t>
    </rPh>
    <phoneticPr fontId="64"/>
  </si>
  <si>
    <t>_8照明導入範囲</t>
    <rPh sb="2" eb="4">
      <t>ショウメイ</t>
    </rPh>
    <rPh sb="4" eb="6">
      <t>ドウニュウ</t>
    </rPh>
    <rPh sb="6" eb="8">
      <t>ハンイ</t>
    </rPh>
    <phoneticPr fontId="64"/>
  </si>
  <si>
    <t>_9照明導入範囲</t>
    <rPh sb="2" eb="4">
      <t>ショウメイ</t>
    </rPh>
    <rPh sb="4" eb="6">
      <t>ドウニュウ</t>
    </rPh>
    <rPh sb="6" eb="8">
      <t>ハンイ</t>
    </rPh>
    <phoneticPr fontId="64"/>
  </si>
  <si>
    <t>_10照明導入範囲</t>
    <rPh sb="3" eb="5">
      <t>ショウメイ</t>
    </rPh>
    <rPh sb="5" eb="7">
      <t>ドウニュウ</t>
    </rPh>
    <rPh sb="7" eb="9">
      <t>ハンイ</t>
    </rPh>
    <phoneticPr fontId="64"/>
  </si>
  <si>
    <t>_11照明導入範囲</t>
    <rPh sb="3" eb="5">
      <t>ショウメイ</t>
    </rPh>
    <rPh sb="5" eb="7">
      <t>ドウニュウ</t>
    </rPh>
    <rPh sb="7" eb="9">
      <t>ハンイ</t>
    </rPh>
    <phoneticPr fontId="64"/>
  </si>
  <si>
    <t>_12照明導入範囲</t>
    <rPh sb="3" eb="5">
      <t>ショウメイ</t>
    </rPh>
    <rPh sb="5" eb="7">
      <t>ドウニュウ</t>
    </rPh>
    <rPh sb="7" eb="9">
      <t>ハンイ</t>
    </rPh>
    <phoneticPr fontId="64"/>
  </si>
  <si>
    <t>_13照明導入範囲</t>
    <rPh sb="3" eb="5">
      <t>ショウメイ</t>
    </rPh>
    <rPh sb="5" eb="7">
      <t>ドウニュウ</t>
    </rPh>
    <rPh sb="7" eb="9">
      <t>ハンイ</t>
    </rPh>
    <phoneticPr fontId="64"/>
  </si>
  <si>
    <t>_14照明導入範囲</t>
    <rPh sb="3" eb="5">
      <t>ショウメイ</t>
    </rPh>
    <rPh sb="5" eb="7">
      <t>ドウニュウ</t>
    </rPh>
    <rPh sb="7" eb="9">
      <t>ハンイ</t>
    </rPh>
    <phoneticPr fontId="64"/>
  </si>
  <si>
    <t>_15照明導入範囲</t>
    <rPh sb="3" eb="5">
      <t>ショウメイ</t>
    </rPh>
    <rPh sb="5" eb="7">
      <t>ドウニュウ</t>
    </rPh>
    <rPh sb="7" eb="9">
      <t>ハンイ</t>
    </rPh>
    <phoneticPr fontId="64"/>
  </si>
  <si>
    <t>_16照明導入範囲</t>
    <rPh sb="3" eb="5">
      <t>ショウメイ</t>
    </rPh>
    <rPh sb="5" eb="7">
      <t>ドウニュウ</t>
    </rPh>
    <rPh sb="7" eb="9">
      <t>ハンイ</t>
    </rPh>
    <phoneticPr fontId="64"/>
  </si>
  <si>
    <t>_17照明導入範囲</t>
    <rPh sb="3" eb="5">
      <t>ショウメイ</t>
    </rPh>
    <rPh sb="5" eb="7">
      <t>ドウニュウ</t>
    </rPh>
    <rPh sb="7" eb="9">
      <t>ハンイ</t>
    </rPh>
    <phoneticPr fontId="64"/>
  </si>
  <si>
    <t>_18照明導入範囲</t>
    <rPh sb="3" eb="5">
      <t>ショウメイ</t>
    </rPh>
    <rPh sb="5" eb="7">
      <t>ドウニュウ</t>
    </rPh>
    <rPh sb="7" eb="9">
      <t>ハンイ</t>
    </rPh>
    <phoneticPr fontId="64"/>
  </si>
  <si>
    <t>_19照明導入範囲</t>
    <rPh sb="3" eb="5">
      <t>ショウメイ</t>
    </rPh>
    <rPh sb="5" eb="7">
      <t>ドウニュウ</t>
    </rPh>
    <rPh sb="7" eb="9">
      <t>ハンイ</t>
    </rPh>
    <phoneticPr fontId="64"/>
  </si>
  <si>
    <t>_20照明導入範囲</t>
    <rPh sb="3" eb="5">
      <t>ショウメイ</t>
    </rPh>
    <rPh sb="5" eb="7">
      <t>ドウニュウ</t>
    </rPh>
    <rPh sb="7" eb="9">
      <t>ハンイ</t>
    </rPh>
    <phoneticPr fontId="64"/>
  </si>
  <si>
    <t>貸室面積</t>
    <rPh sb="0" eb="2">
      <t>カシシツ</t>
    </rPh>
    <rPh sb="2" eb="4">
      <t>メンセキ</t>
    </rPh>
    <phoneticPr fontId="64"/>
  </si>
  <si>
    <t>貸室名称</t>
    <rPh sb="0" eb="2">
      <t>カシシツ</t>
    </rPh>
    <rPh sb="2" eb="4">
      <t>メイショウ</t>
    </rPh>
    <phoneticPr fontId="64"/>
  </si>
  <si>
    <t>貸室用途</t>
    <rPh sb="0" eb="2">
      <t>カシシツ</t>
    </rPh>
    <rPh sb="2" eb="4">
      <t>ヨウト</t>
    </rPh>
    <phoneticPr fontId="64"/>
  </si>
  <si>
    <t>備考欄</t>
    <rPh sb="0" eb="2">
      <t>ビコウ</t>
    </rPh>
    <rPh sb="2" eb="3">
      <t>ラン</t>
    </rPh>
    <phoneticPr fontId="64"/>
  </si>
  <si>
    <t>★★</t>
    <phoneticPr fontId="64"/>
  </si>
  <si>
    <t>★</t>
    <phoneticPr fontId="64"/>
  </si>
  <si>
    <t>空調　　★★★</t>
    <rPh sb="0" eb="2">
      <t>クウチョウ</t>
    </rPh>
    <phoneticPr fontId="64"/>
  </si>
  <si>
    <t xml:space="preserve"> [解説]</t>
    <rPh sb="2" eb="4">
      <t>カイセツ</t>
    </rPh>
    <phoneticPr fontId="64"/>
  </si>
  <si>
    <t>照明　　★★★</t>
    <rPh sb="0" eb="2">
      <t>ショウメイ</t>
    </rPh>
    <phoneticPr fontId="64"/>
  </si>
  <si>
    <t>：LED照明又はHf照明</t>
    <rPh sb="4" eb="6">
      <t>ショウメイ</t>
    </rPh>
    <rPh sb="6" eb="7">
      <t>マタ</t>
    </rPh>
    <rPh sb="10" eb="12">
      <t>ショウメイ</t>
    </rPh>
    <phoneticPr fontId="64"/>
  </si>
  <si>
    <t>：高効率LED照明</t>
    <rPh sb="1" eb="4">
      <t>コウコウリツ</t>
    </rPh>
    <rPh sb="7" eb="9">
      <t>ショウメイ</t>
    </rPh>
    <phoneticPr fontId="64"/>
  </si>
  <si>
    <t>：上記以外</t>
    <rPh sb="1" eb="3">
      <t>ジョウキ</t>
    </rPh>
    <rPh sb="3" eb="5">
      <t>イガイ</t>
    </rPh>
    <phoneticPr fontId="64"/>
  </si>
  <si>
    <t>ランプ種類</t>
    <rPh sb="3" eb="5">
      <t>シュルイ</t>
    </rPh>
    <phoneticPr fontId="64"/>
  </si>
  <si>
    <t>：メーカーの現行機種の高効率形同等品</t>
    <rPh sb="6" eb="8">
      <t>ゲンコウ</t>
    </rPh>
    <rPh sb="8" eb="10">
      <t>キシュ</t>
    </rPh>
    <rPh sb="11" eb="14">
      <t>コウコウリツ</t>
    </rPh>
    <rPh sb="14" eb="15">
      <t>ガタ</t>
    </rPh>
    <rPh sb="15" eb="18">
      <t>ドウトウヒン</t>
    </rPh>
    <phoneticPr fontId="64"/>
  </si>
  <si>
    <t>：メーカーの現行機種の標準形同等品</t>
    <rPh sb="6" eb="8">
      <t>ゲンコウ</t>
    </rPh>
    <rPh sb="8" eb="10">
      <t>キシュ</t>
    </rPh>
    <rPh sb="11" eb="13">
      <t>ヒョウジュン</t>
    </rPh>
    <rPh sb="13" eb="14">
      <t>カタ</t>
    </rPh>
    <rPh sb="14" eb="17">
      <t>ドウトウヒン</t>
    </rPh>
    <phoneticPr fontId="64"/>
  </si>
  <si>
    <t>：メーカーの旧型機種</t>
    <rPh sb="6" eb="8">
      <t>キュウガタ</t>
    </rPh>
    <rPh sb="8" eb="10">
      <t>キシュ</t>
    </rPh>
    <phoneticPr fontId="64"/>
  </si>
  <si>
    <t>(保健・介護施設)</t>
    <rPh sb="1" eb="3">
      <t>ホケン</t>
    </rPh>
    <rPh sb="4" eb="6">
      <t>カイゴ</t>
    </rPh>
    <rPh sb="6" eb="8">
      <t>シセツ</t>
    </rPh>
    <phoneticPr fontId="66"/>
  </si>
</sst>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76" formatCode="0_ "/>
    <numFmt numFmtId="177" formatCode="#,##0.0_ "/>
    <numFmt numFmtId="178" formatCode="#,##0_ "/>
    <numFmt numFmtId="179" formatCode="0.00_ "/>
    <numFmt numFmtId="180" formatCode="0.000_ "/>
    <numFmt numFmtId="181" formatCode="0.0_ "/>
    <numFmt numFmtId="182" formatCode="#,##0.00_ "/>
    <numFmt numFmtId="183" formatCode="#,##0.000_ "/>
    <numFmt numFmtId="184" formatCode="0.0_);[Red]\(0.0\)"/>
    <numFmt numFmtId="185" formatCode="yyyy&quot;年&quot;m&quot;月&quot;;@"/>
    <numFmt numFmtId="186" formatCode="#,##0.00_);[Red]\(#,##0.00\)"/>
    <numFmt numFmtId="187" formatCode="#,##0.0;[Red]\-#,##0.0"/>
    <numFmt numFmtId="188" formatCode="0.0%"/>
    <numFmt numFmtId="189" formatCode="0.0;_鰀"/>
    <numFmt numFmtId="190" formatCode="0.0"/>
    <numFmt numFmtId="191" formatCode="0.0;&quot;▲ &quot;0.0"/>
    <numFmt numFmtId="192" formatCode="#,##0;&quot;▲ &quot;#,##0"/>
  </numFmts>
  <fonts count="8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indexed="56"/>
      <name val="ＭＳ Ｐゴシック"/>
      <family val="3"/>
      <charset val="128"/>
    </font>
    <font>
      <sz val="11"/>
      <color indexed="60"/>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1"/>
      <color indexed="10"/>
      <name val="ＭＳ Ｐゴシック"/>
      <family val="3"/>
      <charset val="128"/>
    </font>
    <font>
      <sz val="9"/>
      <color indexed="8"/>
      <name val="ＭＳ Ｐゴシック"/>
      <family val="3"/>
      <charset val="128"/>
    </font>
    <font>
      <sz val="6"/>
      <name val="ＭＳ Ｐゴシック"/>
      <family val="3"/>
      <charset val="128"/>
    </font>
    <font>
      <vertAlign val="superscript"/>
      <sz val="9"/>
      <name val="ＭＳ Ｐゴシック"/>
      <family val="3"/>
      <charset val="128"/>
    </font>
    <font>
      <b/>
      <sz val="9"/>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scheme val="minor"/>
    </font>
    <font>
      <b/>
      <sz val="9"/>
      <color theme="1"/>
      <name val="ＭＳ Ｐゴシック"/>
      <family val="3"/>
      <charset val="128"/>
      <scheme val="minor"/>
    </font>
    <font>
      <sz val="6"/>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sz val="26"/>
      <color theme="1"/>
      <name val="ＭＳ Ｐゴシック"/>
      <family val="3"/>
      <charset val="128"/>
      <scheme val="minor"/>
    </font>
    <font>
      <u/>
      <sz val="26"/>
      <color theme="1"/>
      <name val="ＭＳ Ｐゴシック"/>
      <family val="3"/>
      <charset val="128"/>
      <scheme val="minor"/>
    </font>
    <font>
      <b/>
      <u/>
      <sz val="14"/>
      <color theme="1"/>
      <name val="ＭＳ Ｐゴシック"/>
      <family val="3"/>
      <charset val="128"/>
      <scheme val="minor"/>
    </font>
    <font>
      <b/>
      <sz val="14"/>
      <color theme="1"/>
      <name val="ＭＳ Ｐゴシック"/>
      <family val="3"/>
      <charset val="128"/>
      <scheme val="minor"/>
    </font>
    <font>
      <b/>
      <sz val="48"/>
      <color theme="1"/>
      <name val="Century"/>
      <family val="1"/>
    </font>
    <font>
      <b/>
      <sz val="12"/>
      <color theme="1"/>
      <name val="ＭＳ Ｐゴシック"/>
      <family val="3"/>
      <charset val="128"/>
      <scheme val="minor"/>
    </font>
    <font>
      <b/>
      <sz val="48"/>
      <color theme="1"/>
      <name val="ＭＳ Ｐゴシック"/>
      <family val="3"/>
      <charset val="128"/>
      <scheme val="minor"/>
    </font>
    <font>
      <sz val="9"/>
      <color rgb="FFFF0000"/>
      <name val="ＭＳ Ｐゴシック"/>
      <family val="3"/>
      <charset val="128"/>
    </font>
    <font>
      <b/>
      <sz val="1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sz val="6"/>
      <color rgb="FFFF0000"/>
      <name val="ＭＳ Ｐゴシック"/>
      <family val="3"/>
      <charset val="128"/>
      <scheme val="minor"/>
    </font>
    <font>
      <b/>
      <sz val="8"/>
      <color theme="1"/>
      <name val="ＭＳ Ｐゴシック"/>
      <family val="3"/>
      <charset val="128"/>
      <scheme val="minor"/>
    </font>
    <font>
      <b/>
      <sz val="6"/>
      <color theme="1"/>
      <name val="ＭＳ Ｐゴシック"/>
      <family val="3"/>
      <charset val="128"/>
      <scheme val="minor"/>
    </font>
    <font>
      <b/>
      <u/>
      <sz val="9"/>
      <color theme="1"/>
      <name val="ＭＳ Ｐゴシック"/>
      <family val="3"/>
      <charset val="128"/>
      <scheme val="minor"/>
    </font>
    <font>
      <sz val="10"/>
      <color theme="1"/>
      <name val="ＭＳ Ｐゴシック"/>
      <family val="3"/>
      <charset val="128"/>
      <scheme val="minor"/>
    </font>
    <font>
      <b/>
      <sz val="60"/>
      <color theme="1"/>
      <name val="ＭＳ Ｐゴシック"/>
      <family val="3"/>
      <charset val="128"/>
      <scheme val="major"/>
    </font>
    <font>
      <b/>
      <sz val="14"/>
      <color theme="1"/>
      <name val="ＭＳ Ｐゴシック"/>
      <family val="3"/>
      <charset val="128"/>
      <scheme val="major"/>
    </font>
    <font>
      <sz val="11"/>
      <color rgb="FFFF0000"/>
      <name val="ＭＳ Ｐゴシック"/>
      <family val="2"/>
      <charset val="128"/>
      <scheme val="minor"/>
    </font>
    <font>
      <sz val="6"/>
      <name val="ＭＳ Ｐゴシック"/>
      <family val="3"/>
      <charset val="128"/>
      <scheme val="minor"/>
    </font>
    <font>
      <sz val="9"/>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7"/>
      <color theme="1"/>
      <name val="ＭＳ Ｐゴシック"/>
      <family val="2"/>
      <charset val="128"/>
      <scheme val="minor"/>
    </font>
    <font>
      <sz val="7"/>
      <color theme="1"/>
      <name val="ＭＳ Ｐゴシック"/>
      <family val="3"/>
      <charset val="128"/>
      <scheme val="minor"/>
    </font>
    <font>
      <sz val="8"/>
      <color theme="1"/>
      <name val="ＭＳ Ｐゴシック"/>
      <family val="2"/>
      <charset val="128"/>
      <scheme val="minor"/>
    </font>
    <font>
      <b/>
      <sz val="9"/>
      <name val="ＭＳ Ｐゴシック"/>
      <family val="3"/>
      <charset val="128"/>
    </font>
    <font>
      <sz val="9"/>
      <color theme="1"/>
      <name val="HG丸ｺﾞｼｯｸM-PRO"/>
      <family val="3"/>
      <charset val="128"/>
    </font>
    <font>
      <sz val="8"/>
      <color theme="1"/>
      <name val="HG丸ｺﾞｼｯｸM-PRO"/>
      <family val="3"/>
      <charset val="128"/>
    </font>
    <font>
      <sz val="7"/>
      <color theme="1"/>
      <name val="HG丸ｺﾞｼｯｸM-PRO"/>
      <family val="3"/>
      <charset val="128"/>
    </font>
    <font>
      <sz val="6"/>
      <color theme="1"/>
      <name val="HG丸ｺﾞｼｯｸM-PRO"/>
      <family val="3"/>
      <charset val="128"/>
    </font>
    <font>
      <sz val="7.5"/>
      <color theme="1"/>
      <name val="ＭＳ Ｐゴシック"/>
      <family val="3"/>
      <charset val="128"/>
      <scheme val="minor"/>
    </font>
    <font>
      <sz val="11"/>
      <name val="ＭＳ Ｐゴシック"/>
      <family val="2"/>
      <charset val="128"/>
      <scheme val="minor"/>
    </font>
    <font>
      <sz val="8"/>
      <color rgb="FFFF0000"/>
      <name val="ＭＳ Ｐゴシック"/>
      <family val="2"/>
      <charset val="128"/>
      <scheme val="minor"/>
    </font>
    <font>
      <sz val="8"/>
      <name val="ＭＳ Ｐゴシック"/>
      <family val="3"/>
      <charset val="128"/>
      <scheme val="minor"/>
    </font>
    <font>
      <b/>
      <sz val="9"/>
      <color theme="1"/>
      <name val="HG丸ｺﾞｼｯｸM-PRO"/>
      <family val="3"/>
      <charset val="128"/>
    </font>
    <font>
      <b/>
      <sz val="15"/>
      <color theme="1"/>
      <name val="メイリオ"/>
      <family val="3"/>
      <charset val="128"/>
    </font>
    <font>
      <sz val="11"/>
      <color theme="1"/>
      <name val="HG丸ｺﾞｼｯｸM-PRO"/>
      <family val="3"/>
      <charset val="128"/>
    </font>
    <font>
      <sz val="10"/>
      <color theme="1"/>
      <name val="HG丸ｺﾞｼｯｸM-PRO"/>
      <family val="3"/>
      <charset val="128"/>
    </font>
  </fonts>
  <fills count="18">
    <fill>
      <patternFill patternType="none"/>
    </fill>
    <fill>
      <patternFill patternType="gray125"/>
    </fill>
    <fill>
      <patternFill patternType="solid">
        <fgColor rgb="FF99FF66"/>
        <bgColor indexed="64"/>
      </patternFill>
    </fill>
    <fill>
      <patternFill patternType="solid">
        <fgColor theme="0" tint="-0.249977111117893"/>
        <bgColor indexed="64"/>
      </patternFill>
    </fill>
    <fill>
      <patternFill patternType="solid">
        <fgColor rgb="FFCCFFCC"/>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9" tint="0.39994506668294322"/>
        <bgColor indexed="64"/>
      </patternFill>
    </fill>
    <fill>
      <patternFill patternType="solid">
        <fgColor rgb="FFFFCC99"/>
        <bgColor indexed="64"/>
      </patternFill>
    </fill>
    <fill>
      <patternFill patternType="solid">
        <fgColor rgb="FFFFC000"/>
        <bgColor indexed="64"/>
      </patternFill>
    </fill>
    <fill>
      <patternFill patternType="solid">
        <fgColor theme="0"/>
        <bgColor indexed="64"/>
      </patternFill>
    </fill>
    <fill>
      <patternFill patternType="solid">
        <fgColor rgb="FFD4F4D4"/>
        <bgColor indexed="64"/>
      </patternFill>
    </fill>
    <fill>
      <patternFill patternType="solid">
        <fgColor rgb="FFFFFF00"/>
        <bgColor indexed="64"/>
      </patternFill>
    </fill>
  </fills>
  <borders count="4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diagonalDown="1">
      <left style="thin">
        <color indexed="64"/>
      </left>
      <right style="thin">
        <color indexed="64"/>
      </right>
      <top/>
      <bottom style="thin">
        <color indexed="64"/>
      </bottom>
      <diagonal style="thin">
        <color indexed="64"/>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diagonalUp="1" diagonalDown="1">
      <left style="thin">
        <color indexed="64"/>
      </left>
      <right style="thin">
        <color indexed="64"/>
      </right>
      <top/>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8" tint="0.79998168889431442"/>
      </right>
      <top style="thin">
        <color theme="0"/>
      </top>
      <bottom style="thin">
        <color theme="0"/>
      </bottom>
      <diagonal/>
    </border>
    <border>
      <left style="thin">
        <color theme="8" tint="0.79998168889431442"/>
      </left>
      <right style="thin">
        <color theme="0"/>
      </right>
      <top style="thin">
        <color theme="0"/>
      </top>
      <bottom style="thin">
        <color theme="0"/>
      </bottom>
      <diagonal/>
    </border>
    <border>
      <left style="thin">
        <color theme="0"/>
      </left>
      <right style="thin">
        <color theme="0"/>
      </right>
      <top style="thin">
        <color theme="0"/>
      </top>
      <bottom style="hair">
        <color theme="0" tint="-0.499984740745262"/>
      </bottom>
      <diagonal/>
    </border>
    <border>
      <left style="thin">
        <color theme="0"/>
      </left>
      <right style="thin">
        <color theme="0"/>
      </right>
      <top/>
      <bottom style="thin">
        <color theme="0"/>
      </bottom>
      <diagonal/>
    </border>
  </borders>
  <cellStyleXfs count="6">
    <xf numFmtId="0" fontId="0" fillId="0" borderId="0">
      <alignment vertical="center"/>
    </xf>
    <xf numFmtId="38" fontId="34"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9" fillId="0" borderId="0">
      <alignment vertical="center"/>
    </xf>
  </cellStyleXfs>
  <cellXfs count="949">
    <xf numFmtId="0" fontId="0" fillId="0" borderId="0" xfId="0">
      <alignment vertical="center"/>
    </xf>
    <xf numFmtId="0" fontId="0" fillId="0" borderId="1" xfId="0" applyBorder="1">
      <alignment vertical="center"/>
    </xf>
    <xf numFmtId="0" fontId="0" fillId="2" borderId="0" xfId="0" applyFill="1" applyBorder="1">
      <alignment vertical="center"/>
    </xf>
    <xf numFmtId="0" fontId="36" fillId="2" borderId="0" xfId="0" applyFont="1" applyFill="1" applyBorder="1">
      <alignment vertical="center"/>
    </xf>
    <xf numFmtId="0" fontId="0" fillId="0" borderId="2" xfId="0" applyFill="1" applyBorder="1">
      <alignment vertical="center"/>
    </xf>
    <xf numFmtId="0" fontId="36" fillId="0" borderId="3" xfId="0" applyFont="1"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0" xfId="0" applyBorder="1">
      <alignment vertical="center"/>
    </xf>
    <xf numFmtId="0" fontId="0" fillId="0" borderId="5" xfId="0" applyBorder="1">
      <alignment vertical="center"/>
    </xf>
    <xf numFmtId="0" fontId="36" fillId="0" borderId="0" xfId="0" applyFont="1" applyBorder="1">
      <alignment vertical="center"/>
    </xf>
    <xf numFmtId="0" fontId="23" fillId="0" borderId="0" xfId="0" applyFont="1" applyBorder="1" applyProtection="1">
      <alignment vertical="center"/>
    </xf>
    <xf numFmtId="0" fontId="38" fillId="0" borderId="0" xfId="0" applyFont="1" applyFill="1" applyBorder="1">
      <alignment vertical="center"/>
    </xf>
    <xf numFmtId="0" fontId="38" fillId="0" borderId="5"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9" fillId="2" borderId="0" xfId="0" applyFont="1" applyFill="1" applyBorder="1">
      <alignment vertical="center"/>
    </xf>
    <xf numFmtId="0" fontId="0" fillId="0" borderId="0" xfId="0" applyFill="1" applyBorder="1">
      <alignment vertical="center"/>
    </xf>
    <xf numFmtId="0" fontId="39" fillId="0" borderId="0" xfId="0" applyFont="1" applyFill="1" applyBorder="1">
      <alignment vertical="center"/>
    </xf>
    <xf numFmtId="0" fontId="36" fillId="0" borderId="0" xfId="0" applyFont="1" applyFill="1" applyBorder="1">
      <alignment vertical="center"/>
    </xf>
    <xf numFmtId="0" fontId="0" fillId="0" borderId="6" xfId="0" applyFill="1" applyBorder="1">
      <alignment vertical="center"/>
    </xf>
    <xf numFmtId="177" fontId="0" fillId="0" borderId="6" xfId="0" applyNumberFormat="1" applyBorder="1">
      <alignment vertical="center"/>
    </xf>
    <xf numFmtId="0" fontId="37" fillId="0" borderId="0" xfId="0" applyFont="1" applyBorder="1" applyAlignment="1">
      <alignment vertical="center"/>
    </xf>
    <xf numFmtId="0" fontId="40" fillId="0" borderId="1" xfId="0" applyFont="1" applyBorder="1">
      <alignment vertical="center"/>
    </xf>
    <xf numFmtId="0" fontId="40" fillId="0" borderId="2" xfId="0" applyFont="1" applyBorder="1">
      <alignment vertical="center"/>
    </xf>
    <xf numFmtId="0" fontId="37" fillId="0" borderId="3" xfId="0" applyFont="1" applyBorder="1">
      <alignment vertical="center"/>
    </xf>
    <xf numFmtId="0" fontId="37" fillId="0" borderId="3" xfId="0" applyFont="1" applyBorder="1" applyAlignment="1">
      <alignment vertical="center"/>
    </xf>
    <xf numFmtId="0" fontId="37" fillId="0" borderId="4" xfId="0" applyFont="1" applyBorder="1">
      <alignment vertical="center"/>
    </xf>
    <xf numFmtId="0" fontId="37" fillId="0" borderId="1" xfId="0" applyFont="1" applyBorder="1">
      <alignment vertical="center"/>
    </xf>
    <xf numFmtId="0" fontId="37" fillId="0" borderId="5" xfId="0" applyFont="1" applyBorder="1">
      <alignment vertical="center"/>
    </xf>
    <xf numFmtId="0" fontId="36" fillId="0" borderId="0" xfId="0" applyFont="1">
      <alignment vertical="center"/>
    </xf>
    <xf numFmtId="0" fontId="37" fillId="0" borderId="0" xfId="0" applyFont="1">
      <alignment vertical="center"/>
    </xf>
    <xf numFmtId="0" fontId="37" fillId="0" borderId="0" xfId="0" applyFont="1" applyBorder="1">
      <alignment vertical="center"/>
    </xf>
    <xf numFmtId="0" fontId="37" fillId="0" borderId="0" xfId="0" applyFont="1" applyFill="1" applyBorder="1">
      <alignment vertical="center"/>
    </xf>
    <xf numFmtId="0" fontId="37" fillId="0" borderId="6" xfId="0" applyFont="1" applyBorder="1">
      <alignment vertical="center"/>
    </xf>
    <xf numFmtId="0" fontId="37" fillId="0" borderId="0" xfId="0" applyFont="1" applyFill="1" applyBorder="1" applyAlignment="1">
      <alignment vertical="center" wrapText="1"/>
    </xf>
    <xf numFmtId="178" fontId="25" fillId="0" borderId="12" xfId="0" applyNumberFormat="1" applyFont="1" applyBorder="1" applyAlignment="1" applyProtection="1">
      <alignment vertical="top"/>
    </xf>
    <xf numFmtId="178" fontId="25" fillId="0" borderId="6" xfId="0" applyNumberFormat="1" applyFont="1" applyBorder="1" applyAlignment="1" applyProtection="1">
      <alignment vertical="top"/>
    </xf>
    <xf numFmtId="0" fontId="25" fillId="0" borderId="6" xfId="0" applyFont="1" applyBorder="1" applyProtection="1">
      <alignment vertical="center"/>
    </xf>
    <xf numFmtId="0" fontId="25" fillId="0" borderId="6" xfId="0" applyNumberFormat="1" applyFont="1" applyFill="1" applyBorder="1" applyAlignment="1" applyProtection="1">
      <alignment horizontal="center" vertical="center" shrinkToFit="1"/>
    </xf>
    <xf numFmtId="0" fontId="0" fillId="0" borderId="0" xfId="0" applyBorder="1" applyAlignment="1">
      <alignment vertical="center" wrapText="1"/>
    </xf>
    <xf numFmtId="0" fontId="25" fillId="0" borderId="0" xfId="0" applyFont="1" applyFill="1" applyBorder="1" applyProtection="1">
      <alignment vertical="center"/>
    </xf>
    <xf numFmtId="0" fontId="25" fillId="0" borderId="0" xfId="0" applyFont="1" applyBorder="1" applyAlignment="1" applyProtection="1">
      <alignment vertical="center" wrapText="1"/>
    </xf>
    <xf numFmtId="176" fontId="0" fillId="0" borderId="0" xfId="0" applyNumberFormat="1">
      <alignment vertical="center"/>
    </xf>
    <xf numFmtId="177" fontId="0" fillId="0" borderId="0" xfId="0" applyNumberFormat="1" applyBorder="1">
      <alignment vertical="center"/>
    </xf>
    <xf numFmtId="176" fontId="37" fillId="0" borderId="0" xfId="0" applyNumberFormat="1" applyFont="1">
      <alignment vertical="center"/>
    </xf>
    <xf numFmtId="183" fontId="25" fillId="0" borderId="12" xfId="0" applyNumberFormat="1" applyFont="1" applyBorder="1" applyAlignment="1" applyProtection="1">
      <alignment vertical="top"/>
    </xf>
    <xf numFmtId="183" fontId="25" fillId="0" borderId="6" xfId="0" applyNumberFormat="1" applyFont="1" applyBorder="1" applyAlignment="1" applyProtection="1">
      <alignment vertical="top"/>
    </xf>
    <xf numFmtId="0" fontId="25" fillId="0" borderId="0" xfId="0" applyFont="1" applyFill="1" applyBorder="1" applyAlignment="1" applyProtection="1">
      <alignment horizontal="right" vertical="center"/>
    </xf>
    <xf numFmtId="0" fontId="23" fillId="0" borderId="0" xfId="0" applyFont="1" applyFill="1" applyBorder="1" applyAlignment="1" applyProtection="1">
      <alignment horizontal="left" vertical="center"/>
    </xf>
    <xf numFmtId="0" fontId="35" fillId="0" borderId="0" xfId="0" applyFont="1" applyFill="1" applyBorder="1">
      <alignment vertical="center"/>
    </xf>
    <xf numFmtId="0" fontId="0" fillId="0" borderId="1" xfId="0" applyBorder="1" applyAlignment="1"/>
    <xf numFmtId="0" fontId="36" fillId="0" borderId="0" xfId="0" applyFont="1" applyBorder="1" applyAlignment="1"/>
    <xf numFmtId="0" fontId="0" fillId="0" borderId="0" xfId="0" applyBorder="1" applyAlignment="1"/>
    <xf numFmtId="0" fontId="0" fillId="0" borderId="5" xfId="0" applyBorder="1" applyAlignment="1"/>
    <xf numFmtId="0" fontId="0" fillId="0" borderId="0" xfId="0" applyAlignment="1"/>
    <xf numFmtId="0" fontId="0" fillId="0" borderId="0" xfId="0" applyFill="1" applyBorder="1" applyAlignment="1"/>
    <xf numFmtId="176" fontId="0" fillId="0" borderId="0" xfId="0" applyNumberFormat="1" applyBorder="1">
      <alignment vertical="center"/>
    </xf>
    <xf numFmtId="0" fontId="41" fillId="0" borderId="6" xfId="0" applyFont="1" applyBorder="1">
      <alignment vertical="center"/>
    </xf>
    <xf numFmtId="177" fontId="37" fillId="0" borderId="6" xfId="0" applyNumberFormat="1" applyFont="1" applyFill="1" applyBorder="1">
      <alignment vertical="center"/>
    </xf>
    <xf numFmtId="181" fontId="37" fillId="7" borderId="6" xfId="0" applyNumberFormat="1" applyFont="1" applyFill="1" applyBorder="1">
      <alignment vertical="center"/>
    </xf>
    <xf numFmtId="0" fontId="37" fillId="0" borderId="6" xfId="0" applyFont="1" applyFill="1" applyBorder="1" applyProtection="1">
      <alignment vertical="center"/>
    </xf>
    <xf numFmtId="178" fontId="25" fillId="6" borderId="12" xfId="0" applyNumberFormat="1" applyFont="1" applyFill="1" applyBorder="1" applyAlignment="1" applyProtection="1">
      <alignment vertical="top"/>
    </xf>
    <xf numFmtId="178" fontId="25" fillId="6" borderId="6" xfId="0" applyNumberFormat="1" applyFont="1" applyFill="1" applyBorder="1" applyAlignment="1" applyProtection="1">
      <alignment vertical="top"/>
    </xf>
    <xf numFmtId="0" fontId="25" fillId="0" borderId="6" xfId="0" applyFont="1" applyBorder="1" applyAlignment="1" applyProtection="1">
      <alignment horizontal="center" vertical="center" shrinkToFit="1"/>
    </xf>
    <xf numFmtId="0" fontId="37" fillId="0" borderId="0" xfId="0" applyFont="1" applyAlignment="1">
      <alignment horizontal="right" vertical="center"/>
    </xf>
    <xf numFmtId="181" fontId="0" fillId="7" borderId="6" xfId="0" applyNumberFormat="1" applyFill="1" applyBorder="1">
      <alignment vertical="center"/>
    </xf>
    <xf numFmtId="0" fontId="0" fillId="2" borderId="1" xfId="0" applyFill="1" applyBorder="1">
      <alignment vertical="center"/>
    </xf>
    <xf numFmtId="0" fontId="0" fillId="2" borderId="5" xfId="0" applyFill="1" applyBorder="1">
      <alignment vertical="center"/>
    </xf>
    <xf numFmtId="0" fontId="23" fillId="0" borderId="0" xfId="0" applyFont="1" applyFill="1" applyBorder="1" applyProtection="1">
      <alignment vertical="center"/>
    </xf>
    <xf numFmtId="0" fontId="37" fillId="0" borderId="0" xfId="0" applyFont="1" applyBorder="1" applyAlignment="1">
      <alignment vertical="center" wrapText="1"/>
    </xf>
    <xf numFmtId="0" fontId="37" fillId="0" borderId="8" xfId="0" applyFont="1" applyBorder="1" applyAlignment="1">
      <alignment vertical="center"/>
    </xf>
    <xf numFmtId="0" fontId="36" fillId="0" borderId="0" xfId="0" applyFont="1" applyBorder="1" applyAlignment="1">
      <alignment vertical="center"/>
    </xf>
    <xf numFmtId="0" fontId="45" fillId="0" borderId="0" xfId="0" applyFont="1" applyBorder="1" applyAlignment="1">
      <alignment vertical="center"/>
    </xf>
    <xf numFmtId="0" fontId="40" fillId="0" borderId="0" xfId="0" applyFont="1" applyBorder="1" applyAlignment="1">
      <alignment vertical="center"/>
    </xf>
    <xf numFmtId="0" fontId="36" fillId="0" borderId="1" xfId="0" applyFont="1" applyBorder="1" applyAlignment="1">
      <alignment vertical="center"/>
    </xf>
    <xf numFmtId="0" fontId="46" fillId="0" borderId="0" xfId="0" applyFont="1" applyBorder="1" applyAlignment="1">
      <alignment vertical="center"/>
    </xf>
    <xf numFmtId="0" fontId="47" fillId="0" borderId="0" xfId="0" applyFont="1" applyBorder="1" applyAlignment="1"/>
    <xf numFmtId="0" fontId="48" fillId="0" borderId="0" xfId="0" applyFont="1" applyBorder="1" applyAlignment="1"/>
    <xf numFmtId="0" fontId="36" fillId="0" borderId="0" xfId="0" applyFont="1" applyBorder="1" applyAlignment="1">
      <alignment vertical="center" wrapText="1"/>
    </xf>
    <xf numFmtId="178" fontId="37" fillId="0" borderId="0" xfId="0" applyNumberFormat="1" applyFont="1" applyFill="1" applyBorder="1" applyAlignment="1">
      <alignment horizontal="right" vertical="center"/>
    </xf>
    <xf numFmtId="181" fontId="37" fillId="0" borderId="0" xfId="0" applyNumberFormat="1" applyFont="1" applyFill="1" applyBorder="1">
      <alignment vertical="center"/>
    </xf>
    <xf numFmtId="0" fontId="49" fillId="0" borderId="1" xfId="0" applyFont="1" applyBorder="1" applyAlignment="1">
      <alignment vertical="center"/>
    </xf>
    <xf numFmtId="0" fontId="49" fillId="0" borderId="7" xfId="0" applyFont="1" applyBorder="1" applyAlignment="1">
      <alignment vertical="center"/>
    </xf>
    <xf numFmtId="0" fontId="37" fillId="0" borderId="1" xfId="0" applyFont="1" applyBorder="1" applyAlignment="1">
      <alignment vertical="center"/>
    </xf>
    <xf numFmtId="0" fontId="49" fillId="0" borderId="0" xfId="0" applyFont="1" applyBorder="1" applyAlignment="1">
      <alignment vertical="center"/>
    </xf>
    <xf numFmtId="0" fontId="49" fillId="0" borderId="8" xfId="0" applyFont="1" applyBorder="1" applyAlignment="1">
      <alignment vertical="center"/>
    </xf>
    <xf numFmtId="0" fontId="40" fillId="0" borderId="3" xfId="0" applyFont="1" applyBorder="1">
      <alignment vertical="center"/>
    </xf>
    <xf numFmtId="0" fontId="40" fillId="0" borderId="0" xfId="0" applyFont="1" applyBorder="1">
      <alignment vertical="center"/>
    </xf>
    <xf numFmtId="0" fontId="50" fillId="0" borderId="0" xfId="0" applyFont="1" applyBorder="1" applyAlignment="1">
      <alignment vertical="center"/>
    </xf>
    <xf numFmtId="0" fontId="36" fillId="0" borderId="2" xfId="0" applyFont="1" applyBorder="1">
      <alignment vertical="center"/>
    </xf>
    <xf numFmtId="0" fontId="36" fillId="0" borderId="3" xfId="0" applyFont="1" applyBorder="1">
      <alignment vertical="center"/>
    </xf>
    <xf numFmtId="0" fontId="0" fillId="0" borderId="3" xfId="0" applyBorder="1">
      <alignment vertical="center"/>
    </xf>
    <xf numFmtId="0" fontId="0" fillId="0" borderId="3" xfId="0" applyBorder="1" applyAlignment="1">
      <alignment vertical="center" wrapText="1"/>
    </xf>
    <xf numFmtId="0" fontId="40" fillId="0" borderId="3" xfId="0" applyFont="1" applyBorder="1" applyAlignment="1">
      <alignment vertical="center" wrapText="1"/>
    </xf>
    <xf numFmtId="0" fontId="40" fillId="0" borderId="0" xfId="0" applyFont="1" applyBorder="1" applyAlignment="1">
      <alignment vertical="center" wrapText="1"/>
    </xf>
    <xf numFmtId="0" fontId="40" fillId="0" borderId="5" xfId="0" applyFont="1" applyBorder="1" applyAlignment="1">
      <alignment vertical="center"/>
    </xf>
    <xf numFmtId="0" fontId="0" fillId="4" borderId="6" xfId="0" applyFont="1" applyFill="1" applyBorder="1" applyProtection="1">
      <alignment vertical="center"/>
    </xf>
    <xf numFmtId="17" fontId="0" fillId="0" borderId="0" xfId="0" applyNumberFormat="1" applyBorder="1">
      <alignment vertical="center"/>
    </xf>
    <xf numFmtId="14" fontId="0" fillId="0" borderId="0" xfId="0" applyNumberFormat="1">
      <alignment vertical="center"/>
    </xf>
    <xf numFmtId="185" fontId="0" fillId="0" borderId="0" xfId="0" applyNumberFormat="1">
      <alignment vertical="center"/>
    </xf>
    <xf numFmtId="17" fontId="0" fillId="0" borderId="0" xfId="0" applyNumberFormat="1">
      <alignment vertical="center"/>
    </xf>
    <xf numFmtId="0" fontId="51" fillId="0" borderId="0" xfId="0" applyFont="1" applyBorder="1" applyAlignment="1">
      <alignment vertical="center"/>
    </xf>
    <xf numFmtId="0" fontId="51" fillId="0" borderId="8" xfId="0" applyFont="1" applyBorder="1" applyAlignment="1">
      <alignment vertical="center"/>
    </xf>
    <xf numFmtId="0" fontId="0" fillId="0" borderId="8" xfId="0" applyBorder="1" applyAlignment="1">
      <alignment vertical="center"/>
    </xf>
    <xf numFmtId="0" fontId="37" fillId="2" borderId="0" xfId="0" applyFont="1" applyFill="1" applyBorder="1" applyAlignment="1">
      <alignment horizontal="right"/>
    </xf>
    <xf numFmtId="178" fontId="52" fillId="0" borderId="6" xfId="0" applyNumberFormat="1" applyFont="1" applyBorder="1" applyAlignment="1" applyProtection="1">
      <alignment vertical="top"/>
    </xf>
    <xf numFmtId="0" fontId="0" fillId="0" borderId="11" xfId="0" applyBorder="1">
      <alignment vertical="center"/>
    </xf>
    <xf numFmtId="0" fontId="37" fillId="0" borderId="6" xfId="0" applyFont="1" applyBorder="1" applyAlignment="1">
      <alignment vertical="center" wrapText="1"/>
    </xf>
    <xf numFmtId="0" fontId="37" fillId="0" borderId="11" xfId="0" applyFont="1" applyBorder="1">
      <alignment vertical="center"/>
    </xf>
    <xf numFmtId="181" fontId="0" fillId="0" borderId="0" xfId="0" applyNumberFormat="1" applyFill="1" applyBorder="1">
      <alignment vertical="center"/>
    </xf>
    <xf numFmtId="0" fontId="0" fillId="0" borderId="6" xfId="0" applyBorder="1" applyAlignment="1">
      <alignment vertical="center"/>
    </xf>
    <xf numFmtId="0" fontId="37" fillId="0" borderId="6" xfId="0" applyFont="1" applyFill="1" applyBorder="1" applyAlignment="1">
      <alignment vertical="center"/>
    </xf>
    <xf numFmtId="0" fontId="40" fillId="0" borderId="5" xfId="0" applyFont="1" applyBorder="1">
      <alignment vertical="center"/>
    </xf>
    <xf numFmtId="0" fontId="40" fillId="0" borderId="0" xfId="0" applyFont="1" applyBorder="1" applyAlignment="1">
      <alignment vertical="top" wrapText="1"/>
    </xf>
    <xf numFmtId="0" fontId="37" fillId="0" borderId="7" xfId="0" applyFont="1" applyBorder="1">
      <alignment vertical="center"/>
    </xf>
    <xf numFmtId="0" fontId="37" fillId="0" borderId="8" xfId="0" applyFont="1" applyBorder="1">
      <alignment vertical="center"/>
    </xf>
    <xf numFmtId="0" fontId="38" fillId="0" borderId="9" xfId="0" applyFont="1" applyBorder="1">
      <alignment vertical="center"/>
    </xf>
    <xf numFmtId="0" fontId="37" fillId="0" borderId="1" xfId="0" applyFont="1" applyFill="1" applyBorder="1">
      <alignment vertical="center"/>
    </xf>
    <xf numFmtId="0" fontId="41" fillId="0" borderId="0" xfId="0" applyFont="1" applyBorder="1">
      <alignment vertical="center"/>
    </xf>
    <xf numFmtId="0" fontId="0" fillId="8" borderId="6" xfId="0" applyFill="1" applyBorder="1">
      <alignment vertical="center"/>
    </xf>
    <xf numFmtId="181" fontId="0" fillId="0" borderId="6" xfId="0" applyNumberFormat="1" applyBorder="1">
      <alignment vertical="center"/>
    </xf>
    <xf numFmtId="0" fontId="27" fillId="0" borderId="1" xfId="0" applyFont="1" applyBorder="1">
      <alignment vertical="center"/>
    </xf>
    <xf numFmtId="0" fontId="37" fillId="0" borderId="1" xfId="0" applyFont="1" applyBorder="1" applyAlignment="1">
      <alignment vertical="top" wrapText="1"/>
    </xf>
    <xf numFmtId="0" fontId="37" fillId="0" borderId="0" xfId="0" applyFont="1" applyBorder="1" applyAlignment="1">
      <alignment vertical="top" wrapText="1"/>
    </xf>
    <xf numFmtId="0" fontId="54" fillId="0" borderId="0" xfId="0" applyFont="1" applyBorder="1" applyAlignment="1"/>
    <xf numFmtId="0" fontId="0" fillId="9" borderId="6" xfId="0" applyFont="1" applyFill="1" applyBorder="1" applyProtection="1">
      <alignment vertical="center"/>
    </xf>
    <xf numFmtId="0" fontId="0" fillId="10" borderId="6" xfId="0" applyFont="1" applyFill="1" applyBorder="1" applyProtection="1">
      <alignment vertical="center"/>
    </xf>
    <xf numFmtId="177" fontId="0" fillId="7" borderId="6" xfId="0" applyNumberFormat="1" applyFill="1" applyBorder="1">
      <alignment vertical="center"/>
    </xf>
    <xf numFmtId="0" fontId="37" fillId="0" borderId="6" xfId="0" applyFont="1" applyBorder="1" applyAlignment="1">
      <alignment horizontal="right" vertical="center"/>
    </xf>
    <xf numFmtId="0" fontId="37" fillId="0" borderId="0" xfId="0" applyFont="1" applyBorder="1" applyAlignment="1">
      <alignment horizontal="right" vertical="center"/>
    </xf>
    <xf numFmtId="49" fontId="34" fillId="0" borderId="0" xfId="1" applyNumberFormat="1" applyFont="1" applyBorder="1" applyAlignment="1">
      <alignment horizontal="center" vertical="center"/>
    </xf>
    <xf numFmtId="49" fontId="34" fillId="0" borderId="0" xfId="1" applyNumberFormat="1" applyFont="1" applyBorder="1" applyAlignment="1">
      <alignment horizontal="right" vertical="center"/>
    </xf>
    <xf numFmtId="0" fontId="0" fillId="0" borderId="0" xfId="0" applyFill="1" applyBorder="1" applyAlignment="1">
      <alignment horizontal="right" vertical="center"/>
    </xf>
    <xf numFmtId="0" fontId="0" fillId="0" borderId="0" xfId="0" applyNumberFormat="1" applyBorder="1" applyAlignment="1">
      <alignment horizontal="center" vertical="center"/>
    </xf>
    <xf numFmtId="187" fontId="34" fillId="0" borderId="0" xfId="1" applyNumberFormat="1" applyFont="1" applyBorder="1">
      <alignment vertical="center"/>
    </xf>
    <xf numFmtId="49" fontId="37" fillId="0" borderId="6" xfId="0" applyNumberFormat="1" applyFont="1" applyBorder="1" applyAlignment="1">
      <alignment horizontal="right" vertical="center"/>
    </xf>
    <xf numFmtId="49" fontId="37" fillId="0" borderId="6" xfId="0" applyNumberFormat="1" applyFont="1" applyFill="1" applyBorder="1" applyAlignment="1">
      <alignment horizontal="right" vertical="center"/>
    </xf>
    <xf numFmtId="0" fontId="37" fillId="0" borderId="6" xfId="0" applyNumberFormat="1" applyFont="1" applyBorder="1" applyAlignment="1">
      <alignment horizontal="right" vertical="center"/>
    </xf>
    <xf numFmtId="0" fontId="0" fillId="0" borderId="6" xfId="0" applyNumberFormat="1" applyBorder="1" applyAlignment="1">
      <alignment horizontal="right" vertical="center"/>
    </xf>
    <xf numFmtId="0" fontId="0" fillId="0" borderId="0" xfId="0" applyNumberFormat="1" applyBorder="1">
      <alignment vertical="center"/>
    </xf>
    <xf numFmtId="0" fontId="0" fillId="0" borderId="0" xfId="0" applyNumberFormat="1" applyAlignment="1"/>
    <xf numFmtId="0" fontId="0" fillId="0" borderId="0" xfId="0" applyNumberFormat="1" applyAlignment="1">
      <alignment horizontal="right" vertical="center"/>
    </xf>
    <xf numFmtId="0" fontId="0" fillId="0" borderId="0" xfId="0" applyNumberFormat="1">
      <alignment vertical="center"/>
    </xf>
    <xf numFmtId="0" fontId="34" fillId="0" borderId="0" xfId="1" applyNumberFormat="1" applyFont="1" applyBorder="1">
      <alignment vertical="center"/>
    </xf>
    <xf numFmtId="0" fontId="0" fillId="0" borderId="0" xfId="0" applyNumberFormat="1" applyFill="1" applyBorder="1" applyAlignment="1">
      <alignment horizontal="right" vertical="center"/>
    </xf>
    <xf numFmtId="0" fontId="37" fillId="0" borderId="6" xfId="1" applyNumberFormat="1" applyFont="1" applyBorder="1" applyAlignment="1">
      <alignment horizontal="right" vertical="center"/>
    </xf>
    <xf numFmtId="0" fontId="0" fillId="0" borderId="15" xfId="0" applyBorder="1">
      <alignment vertical="center"/>
    </xf>
    <xf numFmtId="0" fontId="37" fillId="0" borderId="15" xfId="0" applyFont="1" applyBorder="1">
      <alignment vertical="center"/>
    </xf>
    <xf numFmtId="0" fontId="37" fillId="0" borderId="15" xfId="0" applyFont="1" applyFill="1" applyBorder="1">
      <alignment vertical="center"/>
    </xf>
    <xf numFmtId="0" fontId="37" fillId="0" borderId="16" xfId="0" applyFont="1" applyFill="1" applyBorder="1" applyAlignment="1">
      <alignment vertical="center"/>
    </xf>
    <xf numFmtId="178" fontId="0" fillId="0" borderId="6" xfId="0" applyNumberFormat="1" applyBorder="1">
      <alignment vertical="center"/>
    </xf>
    <xf numFmtId="178" fontId="0" fillId="7" borderId="17" xfId="0" applyNumberFormat="1" applyFill="1" applyBorder="1" applyAlignment="1"/>
    <xf numFmtId="0" fontId="42" fillId="0" borderId="6" xfId="0" applyFont="1" applyBorder="1">
      <alignment vertical="center"/>
    </xf>
    <xf numFmtId="0" fontId="42" fillId="0" borderId="18" xfId="0" applyFont="1" applyFill="1" applyBorder="1">
      <alignment vertical="center"/>
    </xf>
    <xf numFmtId="181" fontId="0" fillId="7" borderId="17" xfId="0" applyNumberFormat="1" applyFill="1" applyBorder="1" applyAlignment="1"/>
    <xf numFmtId="38" fontId="37" fillId="0" borderId="6" xfId="1" applyFont="1" applyBorder="1">
      <alignment vertical="center"/>
    </xf>
    <xf numFmtId="38" fontId="37" fillId="7" borderId="6" xfId="1" applyFont="1" applyFill="1" applyBorder="1">
      <alignment vertical="center"/>
    </xf>
    <xf numFmtId="177" fontId="37" fillId="7" borderId="6" xfId="0" applyNumberFormat="1" applyFont="1" applyFill="1" applyBorder="1">
      <alignment vertical="center"/>
    </xf>
    <xf numFmtId="0" fontId="36" fillId="0" borderId="0" xfId="0" applyNumberFormat="1" applyFont="1">
      <alignment vertical="center"/>
    </xf>
    <xf numFmtId="0" fontId="55" fillId="0" borderId="0" xfId="0" applyFont="1" applyBorder="1" applyAlignment="1">
      <alignment vertical="top" wrapText="1"/>
    </xf>
    <xf numFmtId="178" fontId="0" fillId="7" borderId="11" xfId="0" applyNumberFormat="1" applyFill="1" applyBorder="1">
      <alignment vertical="center"/>
    </xf>
    <xf numFmtId="0" fontId="37" fillId="0" borderId="20" xfId="0" applyNumberFormat="1" applyFont="1" applyBorder="1">
      <alignment vertical="center"/>
    </xf>
    <xf numFmtId="0" fontId="37" fillId="0" borderId="21" xfId="0" applyNumberFormat="1" applyFont="1" applyBorder="1">
      <alignment vertical="center"/>
    </xf>
    <xf numFmtId="0" fontId="37" fillId="0" borderId="22" xfId="0" applyFont="1" applyBorder="1">
      <alignment vertical="center"/>
    </xf>
    <xf numFmtId="0" fontId="37" fillId="0" borderId="20" xfId="0" applyFont="1" applyBorder="1">
      <alignment vertical="center"/>
    </xf>
    <xf numFmtId="0" fontId="37" fillId="0" borderId="21" xfId="0" applyFont="1" applyBorder="1">
      <alignment vertical="center"/>
    </xf>
    <xf numFmtId="0" fontId="0" fillId="0" borderId="18" xfId="0" applyNumberFormat="1" applyBorder="1" applyAlignment="1">
      <alignment horizontal="right" vertical="center"/>
    </xf>
    <xf numFmtId="0" fontId="37" fillId="0" borderId="16" xfId="0" applyFont="1" applyBorder="1">
      <alignment vertical="center"/>
    </xf>
    <xf numFmtId="0" fontId="0" fillId="0" borderId="17" xfId="0" applyNumberFormat="1" applyBorder="1" applyAlignment="1">
      <alignment horizontal="right" vertical="center"/>
    </xf>
    <xf numFmtId="0" fontId="0" fillId="0" borderId="23" xfId="0" applyNumberFormat="1" applyBorder="1" applyAlignment="1">
      <alignment horizontal="right" vertical="center"/>
    </xf>
    <xf numFmtId="0" fontId="41" fillId="0" borderId="22" xfId="0" applyFont="1" applyBorder="1">
      <alignment vertical="center"/>
    </xf>
    <xf numFmtId="0" fontId="41" fillId="0" borderId="20" xfId="0" applyFont="1" applyBorder="1">
      <alignment vertical="center"/>
    </xf>
    <xf numFmtId="0" fontId="37" fillId="0" borderId="17" xfId="0" applyFont="1" applyBorder="1" applyAlignment="1">
      <alignment horizontal="right" vertical="center"/>
    </xf>
    <xf numFmtId="49" fontId="37" fillId="0" borderId="17" xfId="1" applyNumberFormat="1" applyFont="1" applyBorder="1" applyAlignment="1">
      <alignment horizontal="right" vertical="center"/>
    </xf>
    <xf numFmtId="0" fontId="34" fillId="0" borderId="0" xfId="1" applyNumberFormat="1" applyFont="1" applyBorder="1" applyAlignment="1">
      <alignment horizontal="right" vertical="center"/>
    </xf>
    <xf numFmtId="49" fontId="0" fillId="0" borderId="0" xfId="0" applyNumberFormat="1" applyBorder="1" applyAlignment="1">
      <alignment horizontal="center" vertical="center"/>
    </xf>
    <xf numFmtId="49" fontId="37" fillId="0" borderId="0" xfId="0" applyNumberFormat="1" applyFont="1" applyBorder="1" applyAlignment="1">
      <alignment horizontal="right" vertical="center"/>
    </xf>
    <xf numFmtId="49" fontId="0" fillId="0" borderId="0" xfId="0" applyNumberFormat="1" applyFill="1" applyBorder="1" applyAlignment="1">
      <alignment horizontal="center" vertical="center"/>
    </xf>
    <xf numFmtId="49" fontId="37" fillId="0" borderId="0" xfId="0" applyNumberFormat="1" applyFont="1" applyFill="1" applyBorder="1" applyAlignment="1">
      <alignment horizontal="right" vertical="center"/>
    </xf>
    <xf numFmtId="49" fontId="37" fillId="0" borderId="0" xfId="1" applyNumberFormat="1" applyFont="1" applyBorder="1" applyAlignment="1">
      <alignment horizontal="right" vertical="center"/>
    </xf>
    <xf numFmtId="0" fontId="42" fillId="0" borderId="0" xfId="0" applyFont="1" applyFill="1" applyBorder="1">
      <alignment vertical="center"/>
    </xf>
    <xf numFmtId="0" fontId="35" fillId="0" borderId="0" xfId="0" applyFont="1">
      <alignment vertical="center"/>
    </xf>
    <xf numFmtId="178" fontId="25" fillId="0" borderId="0" xfId="0" applyNumberFormat="1" applyFont="1" applyBorder="1" applyAlignment="1" applyProtection="1">
      <alignment vertical="top"/>
    </xf>
    <xf numFmtId="181" fontId="0" fillId="7" borderId="12" xfId="0" applyNumberFormat="1" applyFill="1" applyBorder="1" applyAlignment="1"/>
    <xf numFmtId="0" fontId="44" fillId="0" borderId="6" xfId="0" applyFont="1" applyFill="1" applyBorder="1">
      <alignment vertical="center"/>
    </xf>
    <xf numFmtId="0" fontId="38" fillId="0" borderId="20" xfId="0" applyFont="1" applyBorder="1" applyAlignment="1">
      <alignment horizontal="center" vertical="center"/>
    </xf>
    <xf numFmtId="0" fontId="37" fillId="0" borderId="18" xfId="0" applyFont="1" applyBorder="1">
      <alignment vertical="center"/>
    </xf>
    <xf numFmtId="0" fontId="37" fillId="0" borderId="17" xfId="0" applyFont="1" applyFill="1" applyBorder="1">
      <alignment vertical="center"/>
    </xf>
    <xf numFmtId="0" fontId="37" fillId="0" borderId="23" xfId="0" applyFont="1" applyBorder="1">
      <alignment vertical="center"/>
    </xf>
    <xf numFmtId="177" fontId="37" fillId="0" borderId="6" xfId="0" applyNumberFormat="1" applyFont="1" applyBorder="1">
      <alignment vertical="center"/>
    </xf>
    <xf numFmtId="0" fontId="37" fillId="0" borderId="16" xfId="0" applyFont="1" applyFill="1" applyBorder="1">
      <alignment vertical="center"/>
    </xf>
    <xf numFmtId="176" fontId="44" fillId="0" borderId="6" xfId="0" applyNumberFormat="1" applyFont="1" applyBorder="1">
      <alignment vertical="center"/>
    </xf>
    <xf numFmtId="0" fontId="56" fillId="0" borderId="22" xfId="0" applyFont="1" applyBorder="1">
      <alignment vertical="center"/>
    </xf>
    <xf numFmtId="38" fontId="44" fillId="0" borderId="20" xfId="1" applyFont="1" applyBorder="1">
      <alignment vertical="center"/>
    </xf>
    <xf numFmtId="38" fontId="44" fillId="0" borderId="21" xfId="1" applyFont="1" applyBorder="1">
      <alignment vertical="center"/>
    </xf>
    <xf numFmtId="0" fontId="56" fillId="0" borderId="16" xfId="0" applyFont="1" applyBorder="1">
      <alignment vertical="center"/>
    </xf>
    <xf numFmtId="38" fontId="44" fillId="0" borderId="17" xfId="1" applyFont="1" applyBorder="1">
      <alignment vertical="center"/>
    </xf>
    <xf numFmtId="38" fontId="44" fillId="0" borderId="23" xfId="1" applyFont="1" applyBorder="1">
      <alignment vertical="center"/>
    </xf>
    <xf numFmtId="178" fontId="25" fillId="0" borderId="4" xfId="0" applyNumberFormat="1" applyFont="1" applyBorder="1" applyAlignment="1" applyProtection="1">
      <alignment vertical="top"/>
    </xf>
    <xf numFmtId="178" fontId="25" fillId="0" borderId="11" xfId="0" applyNumberFormat="1" applyFont="1" applyBorder="1" applyAlignment="1" applyProtection="1">
      <alignment vertical="top"/>
    </xf>
    <xf numFmtId="0" fontId="0" fillId="0" borderId="24" xfId="0" applyBorder="1">
      <alignment vertical="center"/>
    </xf>
    <xf numFmtId="0" fontId="25" fillId="0" borderId="25" xfId="0" applyFont="1" applyBorder="1" applyAlignment="1" applyProtection="1">
      <alignment vertical="center" shrinkToFit="1"/>
    </xf>
    <xf numFmtId="178" fontId="25" fillId="6" borderId="26" xfId="0" applyNumberFormat="1" applyFont="1" applyFill="1" applyBorder="1" applyAlignment="1" applyProtection="1">
      <alignment vertical="top"/>
    </xf>
    <xf numFmtId="178" fontId="25" fillId="6" borderId="18" xfId="0" applyNumberFormat="1" applyFont="1" applyFill="1" applyBorder="1" applyAlignment="1" applyProtection="1">
      <alignment vertical="top"/>
    </xf>
    <xf numFmtId="0" fontId="52" fillId="0" borderId="25" xfId="0" applyFont="1" applyBorder="1" applyAlignment="1" applyProtection="1">
      <alignment vertical="center" shrinkToFit="1"/>
    </xf>
    <xf numFmtId="178" fontId="52" fillId="6" borderId="18" xfId="0" applyNumberFormat="1" applyFont="1" applyFill="1" applyBorder="1" applyAlignment="1" applyProtection="1">
      <alignment vertical="top"/>
    </xf>
    <xf numFmtId="0" fontId="56" fillId="0" borderId="15" xfId="0" applyFont="1" applyBorder="1">
      <alignment vertical="center"/>
    </xf>
    <xf numFmtId="176" fontId="44" fillId="0" borderId="18" xfId="0" applyNumberFormat="1" applyFont="1" applyFill="1" applyBorder="1">
      <alignment vertical="center"/>
    </xf>
    <xf numFmtId="0" fontId="41" fillId="0" borderId="16" xfId="0" applyFont="1" applyBorder="1">
      <alignment vertical="center"/>
    </xf>
    <xf numFmtId="176" fontId="37" fillId="0" borderId="17" xfId="0" applyNumberFormat="1" applyFont="1" applyBorder="1">
      <alignment vertical="center"/>
    </xf>
    <xf numFmtId="0" fontId="37" fillId="0" borderId="23" xfId="0" applyFont="1" applyFill="1" applyBorder="1">
      <alignment vertical="center"/>
    </xf>
    <xf numFmtId="0" fontId="0" fillId="0" borderId="0" xfId="0" applyNumberFormat="1" applyBorder="1" applyAlignment="1">
      <alignment horizontal="right" vertical="center"/>
    </xf>
    <xf numFmtId="0" fontId="37" fillId="0" borderId="17" xfId="0" applyNumberFormat="1" applyFont="1" applyBorder="1" applyAlignment="1">
      <alignment horizontal="right" vertical="center"/>
    </xf>
    <xf numFmtId="177" fontId="37" fillId="0" borderId="0" xfId="0" applyNumberFormat="1" applyFont="1" applyBorder="1">
      <alignment vertical="center"/>
    </xf>
    <xf numFmtId="0" fontId="40" fillId="0" borderId="22" xfId="0" applyFont="1" applyBorder="1">
      <alignment vertical="center"/>
    </xf>
    <xf numFmtId="0" fontId="40" fillId="0" borderId="20" xfId="0" applyFont="1" applyBorder="1">
      <alignment vertical="center"/>
    </xf>
    <xf numFmtId="0" fontId="40" fillId="0" borderId="21" xfId="0" applyFont="1" applyBorder="1">
      <alignment vertical="center"/>
    </xf>
    <xf numFmtId="0" fontId="57" fillId="0" borderId="6" xfId="0" applyFont="1" applyBorder="1">
      <alignment vertical="center"/>
    </xf>
    <xf numFmtId="0" fontId="58" fillId="0" borderId="18" xfId="0" applyFont="1" applyBorder="1">
      <alignment vertical="center"/>
    </xf>
    <xf numFmtId="0" fontId="40" fillId="0" borderId="21" xfId="0" applyFont="1" applyFill="1" applyBorder="1">
      <alignment vertical="center"/>
    </xf>
    <xf numFmtId="38" fontId="37" fillId="7" borderId="12" xfId="1" applyFont="1" applyFill="1" applyBorder="1">
      <alignment vertical="center"/>
    </xf>
    <xf numFmtId="0" fontId="36" fillId="0" borderId="2" xfId="0" applyFont="1" applyFill="1" applyBorder="1">
      <alignment vertical="center"/>
    </xf>
    <xf numFmtId="177" fontId="37" fillId="0" borderId="3" xfId="0" applyNumberFormat="1" applyFont="1" applyBorder="1">
      <alignment vertical="center"/>
    </xf>
    <xf numFmtId="0" fontId="59" fillId="0" borderId="3" xfId="0" applyFont="1" applyBorder="1" applyAlignment="1">
      <alignment horizontal="center"/>
    </xf>
    <xf numFmtId="0" fontId="0" fillId="0" borderId="4" xfId="0" applyBorder="1">
      <alignment vertical="center"/>
    </xf>
    <xf numFmtId="38" fontId="37" fillId="0" borderId="0" xfId="1" applyFont="1" applyFill="1" applyBorder="1">
      <alignment vertical="center"/>
    </xf>
    <xf numFmtId="181" fontId="37" fillId="4" borderId="6" xfId="0" applyNumberFormat="1" applyFont="1" applyFill="1" applyBorder="1" applyProtection="1">
      <alignment vertical="center"/>
      <protection locked="0"/>
    </xf>
    <xf numFmtId="0" fontId="37" fillId="4" borderId="6" xfId="0" applyFont="1" applyFill="1" applyBorder="1" applyProtection="1">
      <alignment vertical="center"/>
      <protection locked="0"/>
    </xf>
    <xf numFmtId="181" fontId="37" fillId="0" borderId="11" xfId="0" applyNumberFormat="1" applyFont="1" applyFill="1" applyBorder="1" applyAlignment="1" applyProtection="1">
      <alignment vertical="center"/>
      <protection hidden="1"/>
    </xf>
    <xf numFmtId="176" fontId="37" fillId="0" borderId="11" xfId="0" applyNumberFormat="1" applyFont="1" applyBorder="1" applyAlignment="1" applyProtection="1">
      <alignment vertical="center"/>
      <protection hidden="1"/>
    </xf>
    <xf numFmtId="181" fontId="37" fillId="0" borderId="6" xfId="0" applyNumberFormat="1" applyFont="1" applyBorder="1" applyProtection="1">
      <alignment vertical="center"/>
      <protection hidden="1"/>
    </xf>
    <xf numFmtId="38" fontId="0" fillId="0" borderId="6" xfId="0" applyNumberFormat="1" applyBorder="1">
      <alignment vertical="center"/>
    </xf>
    <xf numFmtId="0" fontId="44" fillId="0" borderId="18" xfId="0" applyFont="1" applyBorder="1">
      <alignment vertical="center"/>
    </xf>
    <xf numFmtId="0" fontId="44" fillId="0" borderId="23" xfId="0" applyFont="1" applyBorder="1">
      <alignment vertical="center"/>
    </xf>
    <xf numFmtId="186" fontId="37" fillId="10" borderId="6" xfId="0" applyNumberFormat="1" applyFont="1" applyFill="1" applyBorder="1" applyAlignment="1" applyProtection="1">
      <alignment vertical="center"/>
      <protection locked="0"/>
    </xf>
    <xf numFmtId="186" fontId="37" fillId="0" borderId="6" xfId="0" applyNumberFormat="1" applyFont="1" applyBorder="1" applyAlignment="1" applyProtection="1">
      <alignment vertical="center"/>
      <protection hidden="1"/>
    </xf>
    <xf numFmtId="38" fontId="34" fillId="0" borderId="6" xfId="1" applyFont="1" applyBorder="1">
      <alignment vertical="center"/>
    </xf>
    <xf numFmtId="0" fontId="0" fillId="0" borderId="6" xfId="0" applyBorder="1">
      <alignment vertical="center"/>
    </xf>
    <xf numFmtId="0" fontId="36" fillId="0" borderId="0" xfId="0" applyNumberFormat="1" applyFont="1" applyAlignment="1">
      <alignment horizontal="left" vertical="center"/>
    </xf>
    <xf numFmtId="0" fontId="58" fillId="0" borderId="6" xfId="0" applyFont="1" applyBorder="1">
      <alignment vertical="center"/>
    </xf>
    <xf numFmtId="0" fontId="0" fillId="0" borderId="6" xfId="0" applyNumberFormat="1" applyBorder="1">
      <alignment vertical="center"/>
    </xf>
    <xf numFmtId="38" fontId="0" fillId="0" borderId="6" xfId="0" applyNumberFormat="1" applyBorder="1" applyAlignment="1">
      <alignment horizontal="right" vertical="center"/>
    </xf>
    <xf numFmtId="0" fontId="34" fillId="0" borderId="6" xfId="1" applyNumberFormat="1" applyFont="1" applyBorder="1" applyAlignment="1">
      <alignment horizontal="right" vertical="center"/>
    </xf>
    <xf numFmtId="181" fontId="38" fillId="7" borderId="6" xfId="0" applyNumberFormat="1" applyFont="1" applyFill="1" applyBorder="1" applyAlignment="1"/>
    <xf numFmtId="0" fontId="37" fillId="0" borderId="6" xfId="0" applyFont="1" applyBorder="1" applyAlignment="1">
      <alignment horizontal="left" vertical="center"/>
    </xf>
    <xf numFmtId="0" fontId="37" fillId="0" borderId="6" xfId="0" applyFont="1" applyBorder="1" applyAlignment="1">
      <alignment horizontal="center" vertical="center"/>
    </xf>
    <xf numFmtId="0" fontId="0" fillId="0" borderId="0" xfId="0" applyBorder="1" applyAlignment="1">
      <alignment horizontal="center" vertical="center"/>
    </xf>
    <xf numFmtId="0" fontId="37" fillId="8" borderId="6" xfId="0" applyFont="1" applyFill="1" applyBorder="1" applyAlignment="1" applyProtection="1">
      <alignment horizontal="center" vertical="center"/>
      <protection hidden="1"/>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19" fillId="0" borderId="0" xfId="2">
      <alignment vertical="center"/>
    </xf>
    <xf numFmtId="0" fontId="65" fillId="0" borderId="0" xfId="2" applyFont="1">
      <alignment vertical="center"/>
    </xf>
    <xf numFmtId="0" fontId="23" fillId="0" borderId="0" xfId="2" applyFont="1" applyBorder="1" applyProtection="1">
      <alignment vertical="center"/>
    </xf>
    <xf numFmtId="0" fontId="41" fillId="0" borderId="6" xfId="2" applyFont="1" applyBorder="1">
      <alignment vertical="center"/>
    </xf>
    <xf numFmtId="0" fontId="19" fillId="0" borderId="6" xfId="2" applyBorder="1">
      <alignment vertical="center"/>
    </xf>
    <xf numFmtId="185" fontId="19" fillId="0" borderId="0" xfId="2" applyNumberFormat="1">
      <alignment vertical="center"/>
    </xf>
    <xf numFmtId="0" fontId="65" fillId="0" borderId="6" xfId="2" applyFont="1" applyBorder="1">
      <alignment vertical="center"/>
    </xf>
    <xf numFmtId="0" fontId="37" fillId="0" borderId="6" xfId="2" applyFont="1" applyBorder="1">
      <alignment vertical="center"/>
    </xf>
    <xf numFmtId="17" fontId="19" fillId="0" borderId="0" xfId="2" applyNumberFormat="1">
      <alignment vertical="center"/>
    </xf>
    <xf numFmtId="0" fontId="67" fillId="0" borderId="6" xfId="2" applyFont="1" applyBorder="1">
      <alignment vertical="center"/>
    </xf>
    <xf numFmtId="0" fontId="23" fillId="0" borderId="0" xfId="2" applyFont="1" applyFill="1" applyBorder="1" applyProtection="1">
      <alignment vertical="center"/>
    </xf>
    <xf numFmtId="14" fontId="19" fillId="0" borderId="0" xfId="2" applyNumberFormat="1">
      <alignment vertical="center"/>
    </xf>
    <xf numFmtId="0" fontId="65" fillId="0" borderId="0" xfId="2" applyFont="1" applyFill="1" applyBorder="1">
      <alignment vertical="center"/>
    </xf>
    <xf numFmtId="0" fontId="41" fillId="0" borderId="0" xfId="2" applyFont="1" applyBorder="1">
      <alignment vertical="center"/>
    </xf>
    <xf numFmtId="0" fontId="19" fillId="0" borderId="0" xfId="2" applyBorder="1">
      <alignment vertical="center"/>
    </xf>
    <xf numFmtId="17" fontId="19" fillId="0" borderId="0" xfId="2" applyNumberFormat="1" applyBorder="1">
      <alignment vertical="center"/>
    </xf>
    <xf numFmtId="0" fontId="19" fillId="0" borderId="0" xfId="2" applyFill="1" applyBorder="1">
      <alignment vertical="center"/>
    </xf>
    <xf numFmtId="0" fontId="39" fillId="0" borderId="0" xfId="2" applyFont="1" applyFill="1" applyBorder="1">
      <alignment vertical="center"/>
    </xf>
    <xf numFmtId="0" fontId="36" fillId="0" borderId="0" xfId="2" applyFont="1" applyFill="1" applyBorder="1">
      <alignment vertical="center"/>
    </xf>
    <xf numFmtId="0" fontId="65" fillId="0" borderId="0" xfId="2" applyFont="1" applyFill="1" applyBorder="1" applyAlignment="1">
      <alignment vertical="center" shrinkToFit="1"/>
    </xf>
    <xf numFmtId="0" fontId="25" fillId="0" borderId="0" xfId="2" applyNumberFormat="1" applyFont="1" applyFill="1" applyBorder="1" applyAlignment="1" applyProtection="1">
      <alignment horizontal="center" vertical="center" shrinkToFit="1"/>
    </xf>
    <xf numFmtId="0" fontId="25" fillId="0" borderId="0" xfId="2" applyFont="1" applyBorder="1" applyAlignment="1" applyProtection="1">
      <alignment horizontal="center" vertical="center" shrinkToFit="1"/>
    </xf>
    <xf numFmtId="0" fontId="25" fillId="0" borderId="0" xfId="2" applyFont="1" applyBorder="1" applyProtection="1">
      <alignment vertical="center"/>
    </xf>
    <xf numFmtId="0" fontId="37" fillId="0" borderId="0" xfId="2" applyFont="1" applyFill="1" applyBorder="1" applyProtection="1">
      <alignment vertical="center"/>
    </xf>
    <xf numFmtId="0" fontId="25" fillId="0" borderId="0" xfId="2" applyFont="1" applyBorder="1" applyAlignment="1" applyProtection="1">
      <alignment horizontal="left" vertical="center"/>
    </xf>
    <xf numFmtId="0" fontId="43" fillId="0" borderId="0" xfId="2" applyFont="1" applyFill="1" applyBorder="1" applyAlignment="1">
      <alignment vertical="center"/>
    </xf>
    <xf numFmtId="0" fontId="38" fillId="0" borderId="0" xfId="2" applyFont="1" applyFill="1" applyBorder="1">
      <alignment vertical="center"/>
    </xf>
    <xf numFmtId="0" fontId="19" fillId="0" borderId="6" xfId="2" applyBorder="1" applyAlignment="1">
      <alignment vertical="center" shrinkToFit="1"/>
    </xf>
    <xf numFmtId="181" fontId="19" fillId="0" borderId="6" xfId="2" applyNumberFormat="1" applyBorder="1">
      <alignment vertical="center"/>
    </xf>
    <xf numFmtId="0" fontId="37" fillId="0" borderId="0" xfId="2" applyFont="1" applyBorder="1">
      <alignment vertical="center"/>
    </xf>
    <xf numFmtId="0" fontId="36" fillId="0" borderId="0" xfId="2" applyFont="1" applyBorder="1">
      <alignment vertical="center"/>
    </xf>
    <xf numFmtId="0" fontId="25" fillId="0" borderId="0" xfId="2" applyFont="1" applyFill="1" applyBorder="1" applyAlignment="1" applyProtection="1">
      <alignment horizontal="left" vertical="center"/>
    </xf>
    <xf numFmtId="9" fontId="19" fillId="0" borderId="6" xfId="2" applyNumberFormat="1" applyBorder="1">
      <alignment vertical="center"/>
    </xf>
    <xf numFmtId="0" fontId="37" fillId="0" borderId="0" xfId="2" applyFont="1" applyFill="1" applyBorder="1" applyAlignment="1">
      <alignment vertical="center"/>
    </xf>
    <xf numFmtId="0" fontId="19" fillId="0" borderId="6" xfId="2" applyFill="1" applyBorder="1">
      <alignment vertical="center"/>
    </xf>
    <xf numFmtId="176" fontId="19" fillId="0" borderId="6" xfId="2" applyNumberFormat="1" applyBorder="1">
      <alignment vertical="center"/>
    </xf>
    <xf numFmtId="0" fontId="37" fillId="0" borderId="6" xfId="2" applyFont="1" applyFill="1" applyBorder="1">
      <alignment vertical="center"/>
    </xf>
    <xf numFmtId="38" fontId="19" fillId="0" borderId="6" xfId="2" applyNumberFormat="1" applyBorder="1">
      <alignment vertical="center"/>
    </xf>
    <xf numFmtId="0" fontId="25" fillId="0" borderId="0" xfId="2" applyFont="1" applyFill="1" applyBorder="1" applyProtection="1">
      <alignment vertical="center"/>
    </xf>
    <xf numFmtId="0" fontId="37" fillId="0" borderId="0" xfId="2" applyFont="1" applyFill="1" applyBorder="1">
      <alignment vertical="center"/>
    </xf>
    <xf numFmtId="0" fontId="37" fillId="0" borderId="5" xfId="2" applyFont="1" applyFill="1" applyBorder="1" applyAlignment="1">
      <alignment vertical="center"/>
    </xf>
    <xf numFmtId="0" fontId="19" fillId="0" borderId="6" xfId="2" applyBorder="1" applyAlignment="1">
      <alignment horizontal="center" vertical="center"/>
    </xf>
    <xf numFmtId="0" fontId="23" fillId="0" borderId="0" xfId="2" applyFont="1" applyFill="1" applyBorder="1" applyAlignment="1" applyProtection="1">
      <alignment horizontal="left" vertical="center"/>
    </xf>
    <xf numFmtId="0" fontId="19" fillId="0" borderId="6" xfId="2" applyFill="1" applyBorder="1" applyAlignment="1">
      <alignment horizontal="center" vertical="center" shrinkToFit="1"/>
    </xf>
    <xf numFmtId="0" fontId="19" fillId="0" borderId="6" xfId="2" applyNumberFormat="1" applyBorder="1">
      <alignment vertical="center"/>
    </xf>
    <xf numFmtId="0" fontId="19" fillId="0" borderId="11" xfId="2" applyBorder="1">
      <alignment vertical="center"/>
    </xf>
    <xf numFmtId="0" fontId="37" fillId="0" borderId="0" xfId="2" applyFont="1" applyFill="1" applyBorder="1" applyAlignment="1">
      <alignment horizontal="left" vertical="center"/>
    </xf>
    <xf numFmtId="49" fontId="19" fillId="0" borderId="6" xfId="2" applyNumberFormat="1" applyBorder="1">
      <alignment vertical="center"/>
    </xf>
    <xf numFmtId="0" fontId="38" fillId="0" borderId="0" xfId="2" applyFont="1" applyFill="1" applyBorder="1" applyAlignment="1">
      <alignment horizontal="left" vertical="center"/>
    </xf>
    <xf numFmtId="0" fontId="19" fillId="0" borderId="0" xfId="2" applyBorder="1" applyAlignment="1">
      <alignment vertical="center" shrinkToFit="1"/>
    </xf>
    <xf numFmtId="0" fontId="71" fillId="0" borderId="0" xfId="2" applyFont="1" applyFill="1" applyBorder="1" applyAlignment="1" applyProtection="1">
      <alignment horizontal="left" vertical="center"/>
    </xf>
    <xf numFmtId="0" fontId="37" fillId="0" borderId="0" xfId="2" applyFont="1" applyFill="1" applyBorder="1" applyAlignment="1">
      <alignment horizontal="left" vertical="center" shrinkToFit="1"/>
    </xf>
    <xf numFmtId="0" fontId="19" fillId="0" borderId="8" xfId="2" applyBorder="1">
      <alignment vertical="center"/>
    </xf>
    <xf numFmtId="177" fontId="19" fillId="0" borderId="6" xfId="2" applyNumberFormat="1" applyBorder="1">
      <alignment vertical="center"/>
    </xf>
    <xf numFmtId="0" fontId="65" fillId="0" borderId="0" xfId="2" applyFont="1" applyAlignment="1">
      <alignment vertical="center"/>
    </xf>
    <xf numFmtId="0" fontId="19" fillId="0" borderId="0" xfId="2" applyBorder="1" applyAlignment="1">
      <alignment vertical="center"/>
    </xf>
    <xf numFmtId="0" fontId="19" fillId="0" borderId="13" xfId="2" applyBorder="1" applyAlignment="1">
      <alignment vertical="center" shrinkToFit="1"/>
    </xf>
    <xf numFmtId="181" fontId="65" fillId="0" borderId="12" xfId="2" applyNumberFormat="1" applyFont="1" applyBorder="1" applyAlignment="1">
      <alignment vertical="center"/>
    </xf>
    <xf numFmtId="0" fontId="19" fillId="0" borderId="6" xfId="2" applyBorder="1" applyAlignment="1">
      <alignment horizontal="right" vertical="center"/>
    </xf>
    <xf numFmtId="0" fontId="65" fillId="0" borderId="0" xfId="2" applyFont="1" applyBorder="1">
      <alignment vertical="center"/>
    </xf>
    <xf numFmtId="181" fontId="19" fillId="0" borderId="0" xfId="2" applyNumberFormat="1" applyBorder="1">
      <alignment vertical="center"/>
    </xf>
    <xf numFmtId="0" fontId="19" fillId="0" borderId="0" xfId="2" applyFill="1" applyBorder="1" applyAlignment="1">
      <alignment vertical="center" shrinkToFit="1"/>
    </xf>
    <xf numFmtId="0" fontId="63" fillId="0" borderId="0" xfId="2" applyFont="1" applyFill="1" applyBorder="1">
      <alignment vertical="center"/>
    </xf>
    <xf numFmtId="38" fontId="19" fillId="0" borderId="0" xfId="2" applyNumberFormat="1" applyBorder="1">
      <alignment vertical="center"/>
    </xf>
    <xf numFmtId="0" fontId="37" fillId="5" borderId="6" xfId="2" applyFont="1" applyFill="1" applyBorder="1">
      <alignment vertical="center"/>
    </xf>
    <xf numFmtId="0" fontId="19" fillId="0" borderId="0" xfId="2" applyAlignment="1">
      <alignment horizontal="left"/>
    </xf>
    <xf numFmtId="0" fontId="19" fillId="5" borderId="13" xfId="2" applyFill="1" applyBorder="1">
      <alignment vertical="center"/>
    </xf>
    <xf numFmtId="181" fontId="19" fillId="5" borderId="6" xfId="2" applyNumberFormat="1" applyFill="1" applyBorder="1">
      <alignment vertical="center"/>
    </xf>
    <xf numFmtId="0" fontId="19" fillId="5" borderId="6" xfId="2" applyFill="1" applyBorder="1">
      <alignment vertical="center"/>
    </xf>
    <xf numFmtId="189" fontId="19" fillId="5" borderId="6" xfId="2" applyNumberFormat="1" applyFill="1" applyBorder="1">
      <alignment vertical="center"/>
    </xf>
    <xf numFmtId="0" fontId="25" fillId="0" borderId="6" xfId="0" applyNumberFormat="1" applyFont="1" applyFill="1" applyBorder="1" applyAlignment="1" applyProtection="1">
      <alignment vertical="center" shrinkToFit="1"/>
    </xf>
    <xf numFmtId="178" fontId="25" fillId="0" borderId="6" xfId="0" applyNumberFormat="1" applyFont="1" applyFill="1" applyBorder="1" applyAlignment="1" applyProtection="1">
      <alignment vertical="top"/>
    </xf>
    <xf numFmtId="176" fontId="65" fillId="0" borderId="6" xfId="2" applyNumberFormat="1" applyFont="1" applyBorder="1">
      <alignment vertical="center"/>
    </xf>
    <xf numFmtId="0" fontId="40" fillId="0" borderId="6" xfId="0" applyFont="1" applyBorder="1" applyAlignment="1">
      <alignment horizontal="center" vertical="center"/>
    </xf>
    <xf numFmtId="0" fontId="40" fillId="0" borderId="6" xfId="0" applyFont="1" applyFill="1" applyBorder="1" applyAlignment="1">
      <alignment horizontal="center" vertical="center"/>
    </xf>
    <xf numFmtId="0" fontId="19" fillId="0" borderId="0" xfId="2" applyAlignment="1">
      <alignment vertical="center" shrinkToFit="1"/>
    </xf>
    <xf numFmtId="0" fontId="43" fillId="0" borderId="0" xfId="2" applyFont="1" applyFill="1" applyBorder="1" applyAlignment="1">
      <alignment horizontal="left" vertical="center" shrinkToFit="1"/>
    </xf>
    <xf numFmtId="0" fontId="43" fillId="0" borderId="0" xfId="2" applyFont="1" applyFill="1" applyBorder="1" applyAlignment="1">
      <alignment horizontal="left" vertical="center"/>
    </xf>
    <xf numFmtId="0" fontId="23" fillId="0" borderId="0" xfId="2" applyNumberFormat="1" applyFont="1" applyFill="1" applyBorder="1" applyAlignment="1" applyProtection="1">
      <alignment vertical="center"/>
    </xf>
    <xf numFmtId="0" fontId="70" fillId="0" borderId="0" xfId="2" applyFont="1" applyFill="1" applyBorder="1">
      <alignment vertical="center"/>
    </xf>
    <xf numFmtId="0" fontId="25" fillId="0" borderId="0" xfId="2" applyNumberFormat="1" applyFont="1" applyFill="1" applyBorder="1" applyAlignment="1" applyProtection="1">
      <alignment vertical="center" shrinkToFit="1"/>
    </xf>
    <xf numFmtId="0" fontId="23" fillId="0" borderId="0" xfId="2" applyNumberFormat="1" applyFont="1" applyFill="1" applyBorder="1" applyAlignment="1" applyProtection="1">
      <alignment vertical="center" shrinkToFit="1"/>
    </xf>
    <xf numFmtId="0" fontId="70" fillId="0" borderId="6" xfId="2" applyFont="1" applyFill="1" applyBorder="1">
      <alignment vertical="center"/>
    </xf>
    <xf numFmtId="0" fontId="19" fillId="0" borderId="6" xfId="2" applyFill="1" applyBorder="1" applyAlignment="1">
      <alignment horizontal="center" vertical="center"/>
    </xf>
    <xf numFmtId="0" fontId="19" fillId="0" borderId="6" xfId="2" applyFill="1" applyBorder="1" applyAlignment="1">
      <alignment vertical="center"/>
    </xf>
    <xf numFmtId="0" fontId="37" fillId="0" borderId="0" xfId="2" applyFont="1">
      <alignment vertical="center"/>
    </xf>
    <xf numFmtId="0" fontId="37" fillId="0" borderId="10" xfId="2" applyFont="1" applyBorder="1">
      <alignment vertical="center"/>
    </xf>
    <xf numFmtId="9" fontId="67" fillId="0" borderId="6" xfId="2" applyNumberFormat="1" applyFont="1" applyBorder="1">
      <alignment vertical="center"/>
    </xf>
    <xf numFmtId="0" fontId="76" fillId="0" borderId="0" xfId="2" applyFont="1" applyFill="1" applyBorder="1">
      <alignment vertical="center"/>
    </xf>
    <xf numFmtId="0" fontId="25" fillId="0" borderId="6" xfId="2" applyFont="1" applyFill="1" applyBorder="1" applyAlignment="1" applyProtection="1">
      <alignment horizontal="center" vertical="center"/>
    </xf>
    <xf numFmtId="38" fontId="19" fillId="0" borderId="12" xfId="2" applyNumberFormat="1" applyBorder="1">
      <alignment vertical="center"/>
    </xf>
    <xf numFmtId="0" fontId="44" fillId="0" borderId="0" xfId="0" applyFont="1" applyFill="1" applyBorder="1">
      <alignment vertical="center"/>
    </xf>
    <xf numFmtId="38" fontId="37" fillId="0" borderId="0" xfId="1" applyFont="1" applyFill="1" applyBorder="1" applyAlignment="1">
      <alignment horizontal="right" vertical="center"/>
    </xf>
    <xf numFmtId="177" fontId="37" fillId="0" borderId="0" xfId="0" applyNumberFormat="1" applyFont="1" applyFill="1" applyBorder="1">
      <alignment vertical="center"/>
    </xf>
    <xf numFmtId="177" fontId="0" fillId="0" borderId="0" xfId="0" applyNumberFormat="1" applyFill="1" applyBorder="1">
      <alignment vertical="center"/>
    </xf>
    <xf numFmtId="178" fontId="0" fillId="0" borderId="0" xfId="0" applyNumberFormat="1" applyFill="1" applyBorder="1">
      <alignment vertical="center"/>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38" fontId="0" fillId="0" borderId="0" xfId="0" applyNumberFormat="1" applyFill="1" applyBorder="1" applyAlignment="1">
      <alignment horizontal="right" vertical="center"/>
    </xf>
    <xf numFmtId="0" fontId="40" fillId="0" borderId="0" xfId="0" applyFont="1" applyFill="1" applyBorder="1" applyAlignment="1">
      <alignment vertical="center" wrapText="1"/>
    </xf>
    <xf numFmtId="0" fontId="59" fillId="0" borderId="0" xfId="0" applyFont="1" applyFill="1" applyBorder="1" applyAlignment="1">
      <alignment horizontal="center"/>
    </xf>
    <xf numFmtId="0" fontId="38" fillId="0" borderId="0" xfId="0" applyFont="1" applyFill="1" applyBorder="1" applyAlignment="1">
      <alignment horizontal="center" vertical="center"/>
    </xf>
    <xf numFmtId="0" fontId="37" fillId="0" borderId="0" xfId="0" applyFont="1" applyFill="1" applyBorder="1" applyAlignment="1"/>
    <xf numFmtId="0" fontId="37" fillId="0" borderId="6" xfId="0" applyFont="1" applyBorder="1" applyAlignment="1">
      <alignment horizontal="center" vertical="center"/>
    </xf>
    <xf numFmtId="0" fontId="37" fillId="0" borderId="0" xfId="0" applyFont="1" applyFill="1" applyBorder="1" applyAlignment="1">
      <alignment horizontal="left" vertical="center"/>
    </xf>
    <xf numFmtId="0" fontId="37" fillId="0" borderId="0" xfId="0" applyFont="1" applyFill="1" applyBorder="1" applyAlignment="1">
      <alignment vertical="center"/>
    </xf>
    <xf numFmtId="0" fontId="25" fillId="0" borderId="0" xfId="0" applyFont="1" applyBorder="1" applyAlignment="1" applyProtection="1">
      <alignment horizontal="left" vertical="center"/>
    </xf>
    <xf numFmtId="0" fontId="25" fillId="0" borderId="0" xfId="0" applyFont="1" applyFill="1" applyBorder="1" applyAlignment="1" applyProtection="1">
      <alignment horizontal="left" vertical="center"/>
    </xf>
    <xf numFmtId="0" fontId="37" fillId="0" borderId="6" xfId="0" applyFont="1" applyBorder="1" applyAlignment="1">
      <alignment horizontal="left" vertical="center"/>
    </xf>
    <xf numFmtId="0" fontId="37" fillId="0" borderId="6" xfId="0" applyFont="1" applyFill="1" applyBorder="1">
      <alignment vertical="center"/>
    </xf>
    <xf numFmtId="0" fontId="37" fillId="0" borderId="11" xfId="0" applyFont="1" applyBorder="1" applyAlignment="1">
      <alignment horizontal="center" vertical="center"/>
    </xf>
    <xf numFmtId="0" fontId="0" fillId="0" borderId="0" xfId="0" applyBorder="1" applyAlignment="1">
      <alignment horizontal="center" vertical="center"/>
    </xf>
    <xf numFmtId="0" fontId="70" fillId="0" borderId="0" xfId="2" applyFont="1" applyBorder="1">
      <alignment vertical="center"/>
    </xf>
    <xf numFmtId="0" fontId="17" fillId="0" borderId="6" xfId="2" applyFont="1" applyBorder="1">
      <alignment vertical="center"/>
    </xf>
    <xf numFmtId="0" fontId="17" fillId="0" borderId="32" xfId="2" applyFont="1" applyBorder="1" applyAlignment="1">
      <alignment horizontal="center" vertical="center"/>
    </xf>
    <xf numFmtId="38" fontId="19" fillId="0" borderId="6" xfId="1" applyFont="1" applyBorder="1">
      <alignment vertical="center"/>
    </xf>
    <xf numFmtId="0" fontId="17" fillId="0" borderId="6" xfId="2" applyFont="1" applyBorder="1" applyAlignment="1">
      <alignment vertical="center" shrinkToFit="1"/>
    </xf>
    <xf numFmtId="0" fontId="17" fillId="0" borderId="6" xfId="2" applyFont="1" applyFill="1" applyBorder="1">
      <alignment vertical="center"/>
    </xf>
    <xf numFmtId="0" fontId="17" fillId="0" borderId="10" xfId="2" applyFont="1" applyBorder="1" applyAlignment="1">
      <alignment vertical="center" shrinkToFit="1"/>
    </xf>
    <xf numFmtId="0" fontId="17" fillId="0" borderId="9" xfId="2" applyFont="1" applyBorder="1" applyAlignment="1">
      <alignment vertical="center" shrinkToFit="1"/>
    </xf>
    <xf numFmtId="0" fontId="17" fillId="0" borderId="11" xfId="2" applyFont="1" applyBorder="1" applyAlignment="1">
      <alignment vertical="center" shrinkToFit="1"/>
    </xf>
    <xf numFmtId="0" fontId="17" fillId="0" borderId="34" xfId="2" applyFont="1" applyBorder="1">
      <alignment vertical="center"/>
    </xf>
    <xf numFmtId="0" fontId="25" fillId="0" borderId="35" xfId="0" applyNumberFormat="1" applyFont="1" applyFill="1" applyBorder="1" applyAlignment="1" applyProtection="1">
      <alignment vertical="center" shrinkToFit="1"/>
    </xf>
    <xf numFmtId="0" fontId="70" fillId="0" borderId="6" xfId="2" applyFont="1" applyBorder="1">
      <alignment vertical="center"/>
    </xf>
    <xf numFmtId="0" fontId="38" fillId="0" borderId="6" xfId="2" applyFont="1" applyBorder="1">
      <alignment vertical="center"/>
    </xf>
    <xf numFmtId="0" fontId="67" fillId="0" borderId="6" xfId="2" applyFont="1" applyBorder="1" applyAlignment="1">
      <alignment vertical="center" shrinkToFit="1"/>
    </xf>
    <xf numFmtId="38" fontId="17" fillId="0" borderId="6" xfId="1" applyFont="1" applyBorder="1">
      <alignment vertical="center"/>
    </xf>
    <xf numFmtId="0" fontId="0" fillId="0" borderId="21" xfId="0" applyBorder="1">
      <alignment vertical="center"/>
    </xf>
    <xf numFmtId="0" fontId="37" fillId="8" borderId="15" xfId="1" applyNumberFormat="1" applyFont="1" applyFill="1" applyBorder="1" applyAlignment="1">
      <alignment horizontal="right" vertical="center"/>
    </xf>
    <xf numFmtId="0" fontId="37" fillId="0" borderId="18" xfId="0" applyFont="1" applyBorder="1" applyAlignment="1">
      <alignment horizontal="right" vertical="center"/>
    </xf>
    <xf numFmtId="0" fontId="37" fillId="0" borderId="6" xfId="0" applyFont="1" applyFill="1" applyBorder="1" applyAlignment="1">
      <alignment horizontal="right" vertical="center"/>
    </xf>
    <xf numFmtId="0" fontId="37" fillId="0" borderId="18" xfId="0" applyFont="1" applyFill="1" applyBorder="1" applyAlignment="1">
      <alignment horizontal="right" vertical="center"/>
    </xf>
    <xf numFmtId="0" fontId="37" fillId="0" borderId="18" xfId="0" applyNumberFormat="1" applyFont="1" applyBorder="1" applyAlignment="1">
      <alignment horizontal="right" vertical="center"/>
    </xf>
    <xf numFmtId="0" fontId="43" fillId="15" borderId="0" xfId="0" applyFont="1" applyFill="1" applyBorder="1" applyAlignment="1">
      <alignment vertical="center"/>
    </xf>
    <xf numFmtId="187" fontId="37" fillId="0" borderId="6" xfId="1" applyNumberFormat="1" applyFont="1" applyBorder="1" applyAlignment="1">
      <alignment horizontal="right" vertical="center"/>
    </xf>
    <xf numFmtId="187" fontId="37" fillId="0" borderId="18" xfId="1" applyNumberFormat="1" applyFont="1" applyBorder="1" applyAlignment="1">
      <alignment horizontal="right" vertical="center"/>
    </xf>
    <xf numFmtId="0" fontId="37" fillId="8" borderId="16" xfId="0" applyNumberFormat="1" applyFont="1" applyFill="1" applyBorder="1" applyAlignment="1">
      <alignment horizontal="right" vertical="center"/>
    </xf>
    <xf numFmtId="0" fontId="37" fillId="0" borderId="17" xfId="1" applyNumberFormat="1" applyFont="1" applyBorder="1" applyAlignment="1">
      <alignment horizontal="right" vertical="center"/>
    </xf>
    <xf numFmtId="0" fontId="37" fillId="0" borderId="23" xfId="0" applyFont="1" applyBorder="1" applyAlignment="1">
      <alignment horizontal="right" vertical="center"/>
    </xf>
    <xf numFmtId="0" fontId="0" fillId="8" borderId="17" xfId="0" applyNumberFormat="1" applyFill="1" applyBorder="1" applyAlignment="1">
      <alignment horizontal="right" vertical="center"/>
    </xf>
    <xf numFmtId="0" fontId="0" fillId="0" borderId="6" xfId="0" applyNumberFormat="1" applyBorder="1" applyAlignment="1">
      <alignment horizontal="center" vertical="center"/>
    </xf>
    <xf numFmtId="178" fontId="37" fillId="0" borderId="6" xfId="0" applyNumberFormat="1" applyFont="1" applyFill="1" applyBorder="1" applyAlignment="1">
      <alignment vertical="center"/>
    </xf>
    <xf numFmtId="38" fontId="37" fillId="0" borderId="18" xfId="1" applyFont="1" applyFill="1" applyBorder="1" applyAlignment="1">
      <alignment vertical="center"/>
    </xf>
    <xf numFmtId="181" fontId="37" fillId="0" borderId="6" xfId="0" applyNumberFormat="1" applyFont="1" applyFill="1" applyBorder="1" applyAlignment="1">
      <alignment vertical="center"/>
    </xf>
    <xf numFmtId="187" fontId="34" fillId="0" borderId="6" xfId="1" applyNumberFormat="1" applyFont="1" applyBorder="1">
      <alignment vertical="center"/>
    </xf>
    <xf numFmtId="178" fontId="37" fillId="0" borderId="6" xfId="0" applyNumberFormat="1" applyFont="1" applyBorder="1" applyAlignment="1">
      <alignment vertical="center"/>
    </xf>
    <xf numFmtId="38" fontId="37" fillId="0" borderId="18" xfId="1" applyFont="1" applyBorder="1" applyAlignment="1">
      <alignment vertical="center"/>
    </xf>
    <xf numFmtId="178" fontId="37" fillId="0" borderId="17" xfId="0" applyNumberFormat="1" applyFont="1" applyBorder="1">
      <alignment vertical="center"/>
    </xf>
    <xf numFmtId="178" fontId="37" fillId="0" borderId="23" xfId="0" applyNumberFormat="1" applyFont="1" applyBorder="1">
      <alignment vertical="center"/>
    </xf>
    <xf numFmtId="0" fontId="16" fillId="0" borderId="0" xfId="2" applyFont="1">
      <alignment vertical="center"/>
    </xf>
    <xf numFmtId="0" fontId="15" fillId="0" borderId="0" xfId="2" applyFont="1">
      <alignment vertical="center"/>
    </xf>
    <xf numFmtId="181" fontId="19" fillId="0" borderId="10" xfId="2" applyNumberFormat="1" applyBorder="1">
      <alignment vertical="center"/>
    </xf>
    <xf numFmtId="0" fontId="19" fillId="0" borderId="0" xfId="2" applyNumberFormat="1" applyBorder="1">
      <alignment vertical="center"/>
    </xf>
    <xf numFmtId="0" fontId="19" fillId="0" borderId="12" xfId="2" applyBorder="1">
      <alignment vertical="center"/>
    </xf>
    <xf numFmtId="0" fontId="25" fillId="0" borderId="12" xfId="0" applyNumberFormat="1" applyFont="1" applyFill="1" applyBorder="1" applyAlignment="1" applyProtection="1">
      <alignment vertical="center" shrinkToFit="1"/>
    </xf>
    <xf numFmtId="0" fontId="19" fillId="0" borderId="10" xfId="2" applyBorder="1">
      <alignment vertical="center"/>
    </xf>
    <xf numFmtId="176" fontId="65" fillId="0" borderId="10" xfId="2" applyNumberFormat="1" applyFont="1" applyBorder="1">
      <alignment vertical="center"/>
    </xf>
    <xf numFmtId="176" fontId="19" fillId="0" borderId="6" xfId="2" applyNumberFormat="1" applyFill="1" applyBorder="1">
      <alignment vertical="center"/>
    </xf>
    <xf numFmtId="0" fontId="63" fillId="0" borderId="0" xfId="2" applyFont="1">
      <alignment vertical="center"/>
    </xf>
    <xf numFmtId="0" fontId="65" fillId="0" borderId="7" xfId="2" applyFont="1" applyBorder="1" applyAlignment="1">
      <alignment horizontal="left" vertical="center" shrinkToFit="1"/>
    </xf>
    <xf numFmtId="181" fontId="70" fillId="0" borderId="0" xfId="2" applyNumberFormat="1" applyFont="1" applyBorder="1" applyAlignment="1">
      <alignment vertical="center"/>
    </xf>
    <xf numFmtId="0" fontId="77" fillId="0" borderId="6" xfId="2" applyFont="1" applyBorder="1">
      <alignment vertical="center"/>
    </xf>
    <xf numFmtId="176" fontId="19" fillId="14" borderId="6" xfId="2" applyNumberFormat="1" applyFill="1" applyBorder="1">
      <alignment vertical="center"/>
    </xf>
    <xf numFmtId="0" fontId="15" fillId="0" borderId="6" xfId="2" applyFont="1" applyBorder="1">
      <alignment vertical="center"/>
    </xf>
    <xf numFmtId="0" fontId="14" fillId="0" borderId="35" xfId="2" applyFont="1" applyBorder="1">
      <alignment vertical="center"/>
    </xf>
    <xf numFmtId="177" fontId="37" fillId="0" borderId="17" xfId="0" applyNumberFormat="1" applyFont="1" applyFill="1" applyBorder="1">
      <alignment vertical="center"/>
    </xf>
    <xf numFmtId="0" fontId="14" fillId="0" borderId="6" xfId="2" applyFont="1" applyBorder="1">
      <alignment vertical="center"/>
    </xf>
    <xf numFmtId="0" fontId="78" fillId="0" borderId="0" xfId="2" applyFont="1" applyAlignment="1">
      <alignment wrapText="1"/>
    </xf>
    <xf numFmtId="0" fontId="16" fillId="0" borderId="0" xfId="2" applyFont="1" applyBorder="1">
      <alignment vertical="center"/>
    </xf>
    <xf numFmtId="0" fontId="15" fillId="0" borderId="0" xfId="2" applyFont="1" applyBorder="1">
      <alignment vertical="center"/>
    </xf>
    <xf numFmtId="0" fontId="78" fillId="0" borderId="0" xfId="2" applyFont="1" applyAlignment="1">
      <alignment vertical="top" wrapText="1"/>
    </xf>
    <xf numFmtId="0" fontId="15" fillId="0" borderId="11" xfId="2" applyFont="1" applyBorder="1">
      <alignment vertical="center"/>
    </xf>
    <xf numFmtId="0" fontId="53" fillId="0" borderId="0" xfId="2" applyFont="1">
      <alignment vertical="center"/>
    </xf>
    <xf numFmtId="0" fontId="65" fillId="0" borderId="13" xfId="2" applyFont="1" applyFill="1" applyBorder="1" applyAlignment="1">
      <alignment horizontal="left" vertical="center"/>
    </xf>
    <xf numFmtId="0" fontId="65" fillId="0" borderId="11" xfId="2" applyFont="1" applyFill="1" applyBorder="1" applyAlignment="1">
      <alignment horizontal="left" vertical="center"/>
    </xf>
    <xf numFmtId="181" fontId="19" fillId="0" borderId="6" xfId="2" applyNumberFormat="1" applyFill="1" applyBorder="1">
      <alignment vertical="center"/>
    </xf>
    <xf numFmtId="0" fontId="19" fillId="3" borderId="6" xfId="2" applyFill="1" applyBorder="1">
      <alignment vertical="center"/>
    </xf>
    <xf numFmtId="177" fontId="19" fillId="0" borderId="0" xfId="2" applyNumberFormat="1" applyBorder="1">
      <alignment vertical="center"/>
    </xf>
    <xf numFmtId="0" fontId="37" fillId="0" borderId="1" xfId="2" applyFont="1" applyFill="1" applyBorder="1" applyAlignment="1">
      <alignment vertical="center"/>
    </xf>
    <xf numFmtId="0" fontId="37" fillId="0" borderId="6" xfId="0" applyFont="1" applyBorder="1" applyAlignment="1">
      <alignment horizontal="center" vertical="center"/>
    </xf>
    <xf numFmtId="0" fontId="37" fillId="0" borderId="6" xfId="0" applyFont="1" applyFill="1" applyBorder="1" applyAlignment="1">
      <alignment horizontal="center" vertical="center"/>
    </xf>
    <xf numFmtId="178" fontId="25" fillId="0" borderId="6" xfId="0" applyNumberFormat="1" applyFont="1" applyBorder="1" applyAlignment="1" applyProtection="1">
      <alignment horizontal="center" vertical="top"/>
    </xf>
    <xf numFmtId="178" fontId="25" fillId="0" borderId="6" xfId="0" applyNumberFormat="1" applyFont="1" applyFill="1" applyBorder="1" applyAlignment="1" applyProtection="1">
      <alignment horizontal="center" vertical="top"/>
    </xf>
    <xf numFmtId="0" fontId="12" fillId="0" borderId="6" xfId="2" applyFont="1" applyBorder="1">
      <alignment vertical="center"/>
    </xf>
    <xf numFmtId="0" fontId="36" fillId="0" borderId="6" xfId="2" applyFont="1" applyBorder="1">
      <alignment vertical="center"/>
    </xf>
    <xf numFmtId="189" fontId="19" fillId="0" borderId="6" xfId="2" applyNumberFormat="1" applyFill="1" applyBorder="1">
      <alignment vertical="center"/>
    </xf>
    <xf numFmtId="0" fontId="19" fillId="3" borderId="12" xfId="2" applyFill="1" applyBorder="1">
      <alignment vertical="center"/>
    </xf>
    <xf numFmtId="181" fontId="19" fillId="0" borderId="14" xfId="2" applyNumberFormat="1" applyBorder="1">
      <alignment vertical="center"/>
    </xf>
    <xf numFmtId="38" fontId="19" fillId="0" borderId="12" xfId="1" applyFont="1" applyBorder="1">
      <alignment vertical="center"/>
    </xf>
    <xf numFmtId="181" fontId="19" fillId="0" borderId="12" xfId="2" applyNumberFormat="1" applyBorder="1">
      <alignment vertical="center"/>
    </xf>
    <xf numFmtId="0" fontId="19" fillId="3" borderId="10" xfId="2" applyFill="1" applyBorder="1">
      <alignment vertical="center"/>
    </xf>
    <xf numFmtId="38" fontId="19" fillId="0" borderId="10" xfId="2" applyNumberFormat="1" applyBorder="1">
      <alignment vertical="center"/>
    </xf>
    <xf numFmtId="38" fontId="19" fillId="0" borderId="10" xfId="1" applyFont="1" applyBorder="1">
      <alignment vertical="center"/>
    </xf>
    <xf numFmtId="0" fontId="65" fillId="0" borderId="5" xfId="2" applyFont="1" applyBorder="1" applyAlignment="1">
      <alignment horizontal="left" vertical="center"/>
    </xf>
    <xf numFmtId="0" fontId="65" fillId="0" borderId="0" xfId="2" applyFont="1" applyAlignment="1">
      <alignment horizontal="left" vertical="center"/>
    </xf>
    <xf numFmtId="0" fontId="11" fillId="0" borderId="6" xfId="2" applyFont="1" applyBorder="1" applyAlignment="1">
      <alignment horizontal="center" vertical="center"/>
    </xf>
    <xf numFmtId="0" fontId="37" fillId="0" borderId="0" xfId="0" applyFont="1" applyFill="1" applyBorder="1" applyAlignment="1">
      <alignment vertical="center"/>
    </xf>
    <xf numFmtId="0" fontId="60" fillId="0" borderId="0" xfId="2" applyFont="1" applyFill="1" applyBorder="1" applyAlignment="1">
      <alignment vertical="top" wrapText="1"/>
    </xf>
    <xf numFmtId="0" fontId="37" fillId="0" borderId="2" xfId="2" applyFont="1" applyFill="1" applyBorder="1" applyAlignment="1">
      <alignment vertical="center"/>
    </xf>
    <xf numFmtId="0" fontId="37" fillId="0" borderId="3" xfId="2" applyFont="1" applyFill="1" applyBorder="1" applyAlignment="1">
      <alignment vertical="center"/>
    </xf>
    <xf numFmtId="0" fontId="37" fillId="0" borderId="4" xfId="2" applyFont="1" applyFill="1" applyBorder="1" applyAlignment="1">
      <alignment vertical="center"/>
    </xf>
    <xf numFmtId="0" fontId="37" fillId="0" borderId="7" xfId="2" applyFont="1" applyFill="1" applyBorder="1" applyAlignment="1">
      <alignment vertical="center"/>
    </xf>
    <xf numFmtId="0" fontId="37" fillId="0" borderId="8" xfId="2" applyFont="1" applyFill="1" applyBorder="1" applyAlignment="1">
      <alignment vertical="center"/>
    </xf>
    <xf numFmtId="0" fontId="37" fillId="0" borderId="9" xfId="2" applyFont="1" applyFill="1" applyBorder="1" applyAlignment="1">
      <alignment vertical="center"/>
    </xf>
    <xf numFmtId="0" fontId="19" fillId="0" borderId="1" xfId="2" applyBorder="1">
      <alignment vertical="center"/>
    </xf>
    <xf numFmtId="0" fontId="23" fillId="0" borderId="5" xfId="2" applyNumberFormat="1" applyFont="1" applyFill="1" applyBorder="1" applyAlignment="1" applyProtection="1">
      <alignment vertical="center"/>
    </xf>
    <xf numFmtId="0" fontId="19" fillId="0" borderId="7" xfId="2" applyBorder="1">
      <alignment vertical="center"/>
    </xf>
    <xf numFmtId="0" fontId="19" fillId="0" borderId="2" xfId="2" applyBorder="1">
      <alignment vertical="center"/>
    </xf>
    <xf numFmtId="0" fontId="19" fillId="0" borderId="3" xfId="2" applyFill="1" applyBorder="1">
      <alignment vertical="center"/>
    </xf>
    <xf numFmtId="0" fontId="36" fillId="0" borderId="3" xfId="2" applyFont="1" applyFill="1" applyBorder="1">
      <alignment vertical="center"/>
    </xf>
    <xf numFmtId="0" fontId="25" fillId="0" borderId="8" xfId="2" applyFont="1" applyFill="1" applyBorder="1" applyAlignment="1" applyProtection="1">
      <alignment horizontal="left" vertical="center"/>
    </xf>
    <xf numFmtId="0" fontId="23" fillId="0" borderId="8" xfId="2" applyFont="1" applyFill="1" applyBorder="1" applyAlignment="1" applyProtection="1">
      <alignment horizontal="left" vertical="center"/>
    </xf>
    <xf numFmtId="0" fontId="37" fillId="0" borderId="8" xfId="2" applyFont="1" applyFill="1" applyBorder="1">
      <alignment vertical="center"/>
    </xf>
    <xf numFmtId="0" fontId="37" fillId="0" borderId="0" xfId="2" applyFont="1" applyFill="1" applyBorder="1" applyAlignment="1">
      <alignment vertical="center" shrinkToFit="1"/>
    </xf>
    <xf numFmtId="181" fontId="38" fillId="0" borderId="6" xfId="0" applyNumberFormat="1" applyFont="1" applyFill="1" applyBorder="1" applyAlignment="1"/>
    <xf numFmtId="0" fontId="10" fillId="0" borderId="6" xfId="2" applyFont="1" applyFill="1" applyBorder="1">
      <alignment vertical="center"/>
    </xf>
    <xf numFmtId="0" fontId="10" fillId="0" borderId="0" xfId="2" applyFont="1">
      <alignment vertical="center"/>
    </xf>
    <xf numFmtId="0" fontId="8" fillId="0" borderId="0" xfId="2" applyFont="1">
      <alignment vertical="center"/>
    </xf>
    <xf numFmtId="0" fontId="8" fillId="0" borderId="0" xfId="2" applyFont="1" applyBorder="1">
      <alignment vertical="center"/>
    </xf>
    <xf numFmtId="9" fontId="19" fillId="0" borderId="0" xfId="2" applyNumberFormat="1">
      <alignment vertical="center"/>
    </xf>
    <xf numFmtId="9" fontId="41" fillId="0" borderId="0" xfId="2" applyNumberFormat="1" applyFont="1" applyBorder="1">
      <alignment vertical="center"/>
    </xf>
    <xf numFmtId="181" fontId="37" fillId="0" borderId="0" xfId="0" applyNumberFormat="1" applyFont="1" applyFill="1" applyBorder="1" applyAlignment="1">
      <alignment vertical="center"/>
    </xf>
    <xf numFmtId="0" fontId="7" fillId="0" borderId="0" xfId="2" applyFont="1" applyBorder="1">
      <alignment vertical="center"/>
    </xf>
    <xf numFmtId="0" fontId="5" fillId="0" borderId="0" xfId="2" applyFont="1">
      <alignment vertical="center"/>
    </xf>
    <xf numFmtId="0" fontId="5" fillId="0" borderId="0" xfId="2" applyFont="1" applyBorder="1">
      <alignment vertical="center"/>
    </xf>
    <xf numFmtId="0" fontId="5" fillId="0" borderId="6" xfId="2" applyFont="1" applyBorder="1">
      <alignment vertical="center"/>
    </xf>
    <xf numFmtId="0" fontId="67" fillId="0" borderId="0" xfId="2" applyFont="1" applyBorder="1">
      <alignment vertical="center"/>
    </xf>
    <xf numFmtId="0" fontId="37" fillId="0" borderId="0" xfId="2" applyFont="1" applyFill="1" applyBorder="1" applyAlignment="1">
      <alignment horizontal="right" vertical="center"/>
    </xf>
    <xf numFmtId="0" fontId="37" fillId="0" borderId="6" xfId="2" applyFont="1" applyFill="1" applyBorder="1" applyAlignment="1">
      <alignment horizontal="center" vertical="center" shrinkToFit="1"/>
    </xf>
    <xf numFmtId="0" fontId="37" fillId="0" borderId="0" xfId="2" applyFont="1" applyFill="1" applyBorder="1" applyAlignment="1">
      <alignment horizontal="center" vertical="center"/>
    </xf>
    <xf numFmtId="0" fontId="37" fillId="10" borderId="6" xfId="2" applyFont="1" applyFill="1" applyBorder="1" applyAlignment="1" applyProtection="1">
      <alignment vertical="center" shrinkToFit="1"/>
      <protection locked="0"/>
    </xf>
    <xf numFmtId="0" fontId="37" fillId="0" borderId="6" xfId="2" applyFont="1" applyFill="1" applyBorder="1" applyAlignment="1">
      <alignment horizontal="center" vertical="center" shrinkToFit="1"/>
    </xf>
    <xf numFmtId="0" fontId="37" fillId="3" borderId="6" xfId="0" applyFont="1" applyFill="1" applyBorder="1" applyAlignment="1">
      <alignment horizontal="center" vertical="center"/>
    </xf>
    <xf numFmtId="0" fontId="0" fillId="0" borderId="6" xfId="0" applyBorder="1">
      <alignment vertical="center"/>
    </xf>
    <xf numFmtId="0" fontId="39" fillId="0" borderId="3" xfId="2" applyFont="1" applyFill="1" applyBorder="1">
      <alignment vertical="center"/>
    </xf>
    <xf numFmtId="0" fontId="10" fillId="0" borderId="3" xfId="2" applyFont="1" applyFill="1" applyBorder="1" applyAlignment="1"/>
    <xf numFmtId="0" fontId="37" fillId="9" borderId="6" xfId="2" applyNumberFormat="1" applyFont="1" applyFill="1" applyBorder="1" applyAlignment="1" applyProtection="1">
      <alignment horizontal="right" vertical="center" shrinkToFit="1"/>
      <protection locked="0"/>
    </xf>
    <xf numFmtId="38" fontId="65" fillId="10" borderId="6" xfId="1" applyFont="1" applyFill="1" applyBorder="1" applyProtection="1">
      <alignment vertical="center"/>
      <protection locked="0"/>
    </xf>
    <xf numFmtId="9" fontId="37" fillId="9" borderId="6" xfId="2" applyNumberFormat="1" applyFont="1" applyFill="1" applyBorder="1" applyAlignment="1" applyProtection="1">
      <alignment horizontal="right" vertical="center" shrinkToFit="1"/>
      <protection locked="0"/>
    </xf>
    <xf numFmtId="9" fontId="37" fillId="9" borderId="6" xfId="2" applyNumberFormat="1" applyFont="1" applyFill="1" applyBorder="1" applyAlignment="1" applyProtection="1">
      <alignment vertical="center" shrinkToFit="1"/>
      <protection locked="0"/>
    </xf>
    <xf numFmtId="0" fontId="37" fillId="4" borderId="6" xfId="2" applyNumberFormat="1" applyFont="1" applyFill="1" applyBorder="1" applyAlignment="1" applyProtection="1">
      <alignment vertical="center" shrinkToFit="1"/>
      <protection locked="0"/>
    </xf>
    <xf numFmtId="0" fontId="37" fillId="0" borderId="6" xfId="2" applyFont="1" applyFill="1" applyBorder="1" applyProtection="1">
      <alignment vertical="center"/>
      <protection locked="0"/>
    </xf>
    <xf numFmtId="0" fontId="19" fillId="0" borderId="6" xfId="2" applyBorder="1" applyProtection="1">
      <alignment vertical="center"/>
      <protection locked="0"/>
    </xf>
    <xf numFmtId="181" fontId="19" fillId="0" borderId="6" xfId="2" applyNumberFormat="1" applyBorder="1" applyProtection="1">
      <alignment vertical="center"/>
      <protection locked="0"/>
    </xf>
    <xf numFmtId="0" fontId="19" fillId="0" borderId="3" xfId="2" applyFill="1" applyBorder="1" applyProtection="1">
      <alignment vertical="center"/>
    </xf>
    <xf numFmtId="0" fontId="37" fillId="0" borderId="3" xfId="2" applyFont="1" applyFill="1" applyBorder="1" applyAlignment="1" applyProtection="1">
      <alignment horizontal="right" vertical="center"/>
    </xf>
    <xf numFmtId="0" fontId="19" fillId="0" borderId="4" xfId="2" applyBorder="1" applyProtection="1">
      <alignment vertical="center"/>
    </xf>
    <xf numFmtId="0" fontId="19" fillId="0" borderId="0" xfId="2" applyBorder="1" applyProtection="1">
      <alignment vertical="center"/>
    </xf>
    <xf numFmtId="0" fontId="19" fillId="0" borderId="0" xfId="2" applyProtection="1">
      <alignment vertical="center"/>
    </xf>
    <xf numFmtId="0" fontId="19" fillId="0" borderId="0" xfId="2" applyFill="1" applyBorder="1" applyProtection="1">
      <alignment vertical="center"/>
    </xf>
    <xf numFmtId="0" fontId="13" fillId="0" borderId="6" xfId="2" applyFont="1" applyFill="1" applyBorder="1" applyProtection="1">
      <alignment vertical="center"/>
    </xf>
    <xf numFmtId="0" fontId="67" fillId="0" borderId="6" xfId="2" applyFont="1" applyBorder="1" applyProtection="1">
      <alignment vertical="center"/>
    </xf>
    <xf numFmtId="0" fontId="41" fillId="0" borderId="6" xfId="2" applyFont="1" applyBorder="1" applyProtection="1">
      <alignment vertical="center"/>
    </xf>
    <xf numFmtId="0" fontId="41" fillId="0" borderId="0" xfId="2" applyFont="1" applyBorder="1" applyProtection="1">
      <alignment vertical="center"/>
    </xf>
    <xf numFmtId="0" fontId="37" fillId="0" borderId="6" xfId="2" applyFont="1" applyFill="1" applyBorder="1" applyProtection="1">
      <alignment vertical="center"/>
    </xf>
    <xf numFmtId="0" fontId="38" fillId="0" borderId="0" xfId="2" applyFont="1" applyFill="1" applyBorder="1" applyProtection="1">
      <alignment vertical="center"/>
    </xf>
    <xf numFmtId="0" fontId="38" fillId="0" borderId="5" xfId="2" applyFont="1" applyFill="1" applyBorder="1" applyProtection="1">
      <alignment vertical="center"/>
    </xf>
    <xf numFmtId="0" fontId="19" fillId="0" borderId="0" xfId="2" applyFill="1" applyBorder="1" applyAlignment="1" applyProtection="1">
      <alignment vertical="center" shrinkToFit="1"/>
    </xf>
    <xf numFmtId="181" fontId="19" fillId="0" borderId="0" xfId="2" applyNumberFormat="1" applyFill="1" applyBorder="1" applyProtection="1">
      <alignment vertical="center"/>
    </xf>
    <xf numFmtId="0" fontId="0" fillId="0" borderId="6" xfId="0" applyBorder="1" applyAlignment="1" applyProtection="1">
      <alignment vertical="center" shrinkToFit="1"/>
    </xf>
    <xf numFmtId="0" fontId="37" fillId="0" borderId="0" xfId="2" applyFont="1" applyBorder="1" applyProtection="1">
      <alignment vertical="center"/>
    </xf>
    <xf numFmtId="0" fontId="19" fillId="0" borderId="6" xfId="2" applyBorder="1" applyProtection="1">
      <alignment vertical="center"/>
    </xf>
    <xf numFmtId="0" fontId="37" fillId="0" borderId="0" xfId="2" applyFont="1" applyFill="1" applyBorder="1" applyAlignment="1" applyProtection="1">
      <alignment vertical="center" shrinkToFit="1"/>
    </xf>
    <xf numFmtId="0" fontId="38" fillId="0" borderId="0" xfId="2" applyFont="1" applyFill="1" applyBorder="1" applyAlignment="1" applyProtection="1">
      <alignment vertical="center" shrinkToFit="1"/>
    </xf>
    <xf numFmtId="0" fontId="38" fillId="0" borderId="5" xfId="2" applyFont="1" applyFill="1" applyBorder="1" applyAlignment="1" applyProtection="1">
      <alignment horizontal="left" vertical="center" shrinkToFit="1"/>
    </xf>
    <xf numFmtId="0" fontId="0" fillId="0" borderId="0" xfId="0" applyBorder="1" applyAlignment="1" applyProtection="1">
      <alignment vertical="center" shrinkToFit="1"/>
    </xf>
    <xf numFmtId="0" fontId="8" fillId="0" borderId="0" xfId="2" applyFont="1" applyProtection="1">
      <alignment vertical="center"/>
    </xf>
    <xf numFmtId="0" fontId="37" fillId="0" borderId="0" xfId="2" applyFont="1" applyBorder="1" applyAlignment="1" applyProtection="1">
      <alignment vertical="center"/>
    </xf>
    <xf numFmtId="0" fontId="38" fillId="0" borderId="5" xfId="2" applyFont="1" applyFill="1" applyBorder="1" applyAlignment="1" applyProtection="1">
      <alignment horizontal="center" vertical="center" shrinkToFit="1"/>
    </xf>
    <xf numFmtId="0" fontId="37" fillId="0" borderId="0" xfId="2" applyFont="1" applyBorder="1" applyAlignment="1" applyProtection="1">
      <alignment horizontal="center" vertical="center"/>
    </xf>
    <xf numFmtId="0" fontId="37" fillId="0" borderId="0" xfId="2" applyFont="1" applyFill="1" applyBorder="1" applyAlignment="1" applyProtection="1">
      <alignment horizontal="left" vertical="center" shrinkToFit="1"/>
    </xf>
    <xf numFmtId="0" fontId="37" fillId="0" borderId="5" xfId="2" applyFont="1" applyFill="1" applyBorder="1" applyAlignment="1" applyProtection="1">
      <alignment horizontal="center" vertical="center" shrinkToFit="1"/>
    </xf>
    <xf numFmtId="38" fontId="0" fillId="0" borderId="0" xfId="3" applyFont="1" applyBorder="1" applyProtection="1">
      <alignment vertical="center"/>
    </xf>
    <xf numFmtId="0" fontId="63" fillId="0" borderId="0" xfId="2" applyFont="1" applyBorder="1" applyProtection="1">
      <alignment vertical="center"/>
    </xf>
    <xf numFmtId="0" fontId="37" fillId="0" borderId="0" xfId="2" applyFont="1" applyFill="1" applyBorder="1" applyAlignment="1" applyProtection="1">
      <alignment vertical="center"/>
    </xf>
    <xf numFmtId="0" fontId="37" fillId="0" borderId="6" xfId="0" applyFont="1" applyBorder="1" applyAlignment="1" applyProtection="1">
      <alignment horizontal="center" vertical="center"/>
    </xf>
    <xf numFmtId="38" fontId="19" fillId="0" borderId="0" xfId="2" applyNumberFormat="1" applyBorder="1" applyProtection="1">
      <alignment vertical="center"/>
    </xf>
    <xf numFmtId="0" fontId="38" fillId="0" borderId="6" xfId="0" applyFont="1" applyBorder="1" applyAlignment="1" applyProtection="1">
      <alignment horizontal="center" vertical="center"/>
    </xf>
    <xf numFmtId="180" fontId="37" fillId="5" borderId="6" xfId="0" applyNumberFormat="1" applyFont="1" applyFill="1" applyBorder="1" applyProtection="1">
      <alignment vertical="center"/>
    </xf>
    <xf numFmtId="0" fontId="19" fillId="0" borderId="6" xfId="2" applyFill="1" applyBorder="1" applyProtection="1">
      <alignment vertical="center"/>
    </xf>
    <xf numFmtId="179" fontId="19" fillId="0" borderId="6" xfId="2" applyNumberFormat="1" applyFill="1" applyBorder="1" applyProtection="1">
      <alignment vertical="center"/>
    </xf>
    <xf numFmtId="0" fontId="37" fillId="0" borderId="6" xfId="2" applyFont="1" applyBorder="1" applyAlignment="1" applyProtection="1">
      <alignment horizontal="center" vertical="center"/>
    </xf>
    <xf numFmtId="176" fontId="19" fillId="0" borderId="6" xfId="2" applyNumberFormat="1" applyBorder="1" applyProtection="1">
      <alignment vertical="center"/>
    </xf>
    <xf numFmtId="178" fontId="19" fillId="0" borderId="6" xfId="2" applyNumberFormat="1" applyBorder="1" applyProtection="1">
      <alignment vertical="center"/>
    </xf>
    <xf numFmtId="181" fontId="19" fillId="0" borderId="6" xfId="2" applyNumberFormat="1" applyBorder="1" applyProtection="1">
      <alignment vertical="center"/>
    </xf>
    <xf numFmtId="0" fontId="19" fillId="0" borderId="0" xfId="2" applyFill="1" applyBorder="1" applyAlignment="1" applyProtection="1">
      <alignment horizontal="center" vertical="center" shrinkToFit="1"/>
    </xf>
    <xf numFmtId="181" fontId="19" fillId="0" borderId="0" xfId="2" applyNumberFormat="1" applyBorder="1" applyProtection="1">
      <alignment vertical="center"/>
    </xf>
    <xf numFmtId="0" fontId="37" fillId="0" borderId="0" xfId="2" applyFont="1" applyFill="1" applyBorder="1" applyAlignment="1" applyProtection="1">
      <alignment horizontal="center" vertical="center" shrinkToFit="1"/>
    </xf>
    <xf numFmtId="0" fontId="37" fillId="0" borderId="5" xfId="2" applyFont="1" applyFill="1" applyBorder="1" applyAlignment="1" applyProtection="1">
      <alignment vertical="center"/>
    </xf>
    <xf numFmtId="0" fontId="4" fillId="0" borderId="0" xfId="2" applyFont="1" applyProtection="1">
      <alignment vertical="center"/>
    </xf>
    <xf numFmtId="187" fontId="19" fillId="0" borderId="0" xfId="2" applyNumberFormat="1" applyBorder="1" applyProtection="1">
      <alignment vertical="center"/>
    </xf>
    <xf numFmtId="188" fontId="0" fillId="0" borderId="0" xfId="4" applyNumberFormat="1" applyFont="1" applyFill="1" applyBorder="1" applyProtection="1">
      <alignment vertical="center"/>
    </xf>
    <xf numFmtId="0" fontId="37" fillId="0" borderId="0" xfId="2" applyFont="1" applyFill="1" applyBorder="1" applyAlignment="1" applyProtection="1">
      <alignment horizontal="center" vertical="center"/>
    </xf>
    <xf numFmtId="0" fontId="37" fillId="0" borderId="5" xfId="2" applyFont="1" applyFill="1" applyBorder="1" applyAlignment="1" applyProtection="1">
      <alignment horizontal="center" vertical="center"/>
    </xf>
    <xf numFmtId="178" fontId="37" fillId="0" borderId="0" xfId="2" applyNumberFormat="1" applyFont="1" applyFill="1" applyBorder="1" applyAlignment="1" applyProtection="1">
      <alignment vertical="center" shrinkToFit="1"/>
    </xf>
    <xf numFmtId="0" fontId="19" fillId="0" borderId="0" xfId="2" applyBorder="1" applyAlignment="1" applyProtection="1">
      <alignment horizontal="center" vertical="center"/>
    </xf>
    <xf numFmtId="38" fontId="65" fillId="0" borderId="0" xfId="3" applyFont="1" applyFill="1" applyBorder="1" applyProtection="1">
      <alignment vertical="center"/>
    </xf>
    <xf numFmtId="181" fontId="19" fillId="0" borderId="0" xfId="2" applyNumberFormat="1" applyProtection="1">
      <alignment vertical="center"/>
    </xf>
    <xf numFmtId="0" fontId="17" fillId="0" borderId="0" xfId="2" applyFont="1" applyProtection="1">
      <alignment vertical="center"/>
    </xf>
    <xf numFmtId="0" fontId="19" fillId="0" borderId="35" xfId="2" applyBorder="1" applyProtection="1">
      <alignment vertical="center"/>
    </xf>
    <xf numFmtId="0" fontId="17" fillId="0" borderId="32" xfId="2" applyFont="1" applyBorder="1" applyAlignment="1" applyProtection="1">
      <alignment horizontal="center" vertical="center"/>
    </xf>
    <xf numFmtId="0" fontId="17" fillId="0" borderId="33" xfId="2" applyFont="1" applyBorder="1" applyAlignment="1" applyProtection="1">
      <alignment horizontal="center" vertical="center"/>
    </xf>
    <xf numFmtId="0" fontId="17" fillId="0" borderId="29" xfId="2" applyFont="1" applyBorder="1" applyAlignment="1" applyProtection="1">
      <alignment horizontal="center" vertical="center"/>
    </xf>
    <xf numFmtId="176" fontId="19" fillId="0" borderId="0" xfId="2" applyNumberFormat="1" applyFill="1" applyBorder="1" applyProtection="1">
      <alignment vertical="center"/>
    </xf>
    <xf numFmtId="0" fontId="19" fillId="0" borderId="34" xfId="2" applyBorder="1" applyAlignment="1" applyProtection="1">
      <alignment horizontal="center" vertical="center"/>
    </xf>
    <xf numFmtId="181" fontId="19" fillId="6" borderId="9" xfId="2" applyNumberFormat="1" applyFill="1" applyBorder="1" applyProtection="1">
      <alignment vertical="center"/>
    </xf>
    <xf numFmtId="38" fontId="19" fillId="6" borderId="10" xfId="1" applyFont="1" applyFill="1" applyBorder="1" applyProtection="1">
      <alignment vertical="center"/>
    </xf>
    <xf numFmtId="181" fontId="19" fillId="6" borderId="10" xfId="2" applyNumberFormat="1" applyFill="1" applyBorder="1" applyProtection="1">
      <alignment vertical="center"/>
    </xf>
    <xf numFmtId="38" fontId="19" fillId="6" borderId="10" xfId="2" applyNumberFormat="1" applyFill="1" applyBorder="1" applyProtection="1">
      <alignment vertical="center"/>
    </xf>
    <xf numFmtId="187" fontId="19" fillId="6" borderId="10" xfId="2" applyNumberFormat="1" applyFill="1" applyBorder="1" applyAlignment="1" applyProtection="1">
      <alignment horizontal="right" vertical="center"/>
    </xf>
    <xf numFmtId="38" fontId="19" fillId="6" borderId="10" xfId="1" applyFont="1" applyFill="1" applyBorder="1" applyAlignment="1" applyProtection="1">
      <alignment horizontal="right" vertical="center"/>
    </xf>
    <xf numFmtId="181" fontId="19" fillId="6" borderId="30" xfId="2" applyNumberFormat="1" applyFill="1" applyBorder="1" applyProtection="1">
      <alignment vertical="center"/>
    </xf>
    <xf numFmtId="38" fontId="19" fillId="6" borderId="30" xfId="2" applyNumberFormat="1" applyFill="1" applyBorder="1" applyProtection="1">
      <alignment vertical="center"/>
    </xf>
    <xf numFmtId="0" fontId="19" fillId="0" borderId="35" xfId="2" applyBorder="1" applyAlignment="1" applyProtection="1">
      <alignment horizontal="center" vertical="center"/>
    </xf>
    <xf numFmtId="38" fontId="19" fillId="6" borderId="6" xfId="1" applyFont="1" applyFill="1" applyBorder="1" applyProtection="1">
      <alignment vertical="center"/>
    </xf>
    <xf numFmtId="181" fontId="19" fillId="6" borderId="6" xfId="2" applyNumberFormat="1" applyFill="1" applyBorder="1" applyProtection="1">
      <alignment vertical="center"/>
    </xf>
    <xf numFmtId="38" fontId="19" fillId="6" borderId="6" xfId="2" applyNumberFormat="1" applyFill="1" applyBorder="1" applyProtection="1">
      <alignment vertical="center"/>
    </xf>
    <xf numFmtId="187" fontId="19" fillId="6" borderId="6" xfId="2" applyNumberFormat="1" applyFill="1" applyBorder="1" applyAlignment="1" applyProtection="1">
      <alignment horizontal="right" vertical="center"/>
    </xf>
    <xf numFmtId="38" fontId="19" fillId="6" borderId="6" xfId="1" applyFont="1" applyFill="1" applyBorder="1" applyAlignment="1" applyProtection="1">
      <alignment horizontal="right" vertical="center"/>
    </xf>
    <xf numFmtId="0" fontId="14" fillId="0" borderId="0" xfId="2" applyFont="1" applyProtection="1">
      <alignment vertical="center"/>
    </xf>
    <xf numFmtId="0" fontId="37" fillId="0" borderId="15" xfId="3" applyNumberFormat="1" applyFont="1" applyBorder="1" applyAlignment="1" applyProtection="1">
      <alignment horizontal="right" vertical="center"/>
    </xf>
    <xf numFmtId="0" fontId="37" fillId="0" borderId="6" xfId="2" applyNumberFormat="1" applyFont="1" applyBorder="1" applyAlignment="1" applyProtection="1">
      <alignment horizontal="right" vertical="center"/>
    </xf>
    <xf numFmtId="0" fontId="37" fillId="0" borderId="6" xfId="2" applyFont="1" applyBorder="1" applyAlignment="1" applyProtection="1">
      <alignment horizontal="right" vertical="center"/>
    </xf>
    <xf numFmtId="0" fontId="19" fillId="0" borderId="6" xfId="2" applyNumberFormat="1" applyBorder="1" applyProtection="1">
      <alignment vertical="center"/>
    </xf>
    <xf numFmtId="0" fontId="19" fillId="0" borderId="0" xfId="2" applyFill="1" applyBorder="1" applyAlignment="1" applyProtection="1">
      <alignment vertical="center"/>
    </xf>
    <xf numFmtId="0" fontId="19" fillId="0" borderId="5" xfId="2" applyFill="1" applyBorder="1" applyAlignment="1" applyProtection="1">
      <alignment vertical="center"/>
    </xf>
    <xf numFmtId="0" fontId="65" fillId="0" borderId="0" xfId="2" applyFont="1" applyBorder="1" applyAlignment="1" applyProtection="1">
      <alignment horizontal="center" vertical="center"/>
    </xf>
    <xf numFmtId="49" fontId="37" fillId="0" borderId="6" xfId="2" applyNumberFormat="1" applyFont="1" applyBorder="1" applyAlignment="1" applyProtection="1">
      <alignment horizontal="right" vertical="center"/>
    </xf>
    <xf numFmtId="0" fontId="19" fillId="0" borderId="0" xfId="2" applyFill="1" applyBorder="1" applyAlignment="1" applyProtection="1">
      <alignment horizontal="center" vertical="center"/>
    </xf>
    <xf numFmtId="38" fontId="19" fillId="6" borderId="6" xfId="1" applyFont="1" applyFill="1" applyBorder="1" applyAlignment="1" applyProtection="1">
      <alignment vertical="center"/>
    </xf>
    <xf numFmtId="181" fontId="19" fillId="6" borderId="6" xfId="2" applyNumberFormat="1" applyFill="1" applyBorder="1" applyAlignment="1" applyProtection="1">
      <alignment vertical="center"/>
    </xf>
    <xf numFmtId="38" fontId="19" fillId="6" borderId="6" xfId="1" applyFont="1" applyFill="1" applyBorder="1" applyAlignment="1" applyProtection="1">
      <alignment vertical="center" shrinkToFit="1"/>
    </xf>
    <xf numFmtId="181" fontId="19" fillId="6" borderId="6" xfId="2" applyNumberFormat="1" applyFill="1" applyBorder="1" applyAlignment="1" applyProtection="1">
      <alignment vertical="center" shrinkToFit="1"/>
    </xf>
    <xf numFmtId="49" fontId="37" fillId="0" borderId="6" xfId="2" applyNumberFormat="1" applyFont="1" applyFill="1" applyBorder="1" applyAlignment="1" applyProtection="1">
      <alignment horizontal="right" vertical="center"/>
    </xf>
    <xf numFmtId="0" fontId="37" fillId="0" borderId="5" xfId="2" applyFont="1" applyFill="1" applyBorder="1" applyProtection="1">
      <alignment vertical="center"/>
    </xf>
    <xf numFmtId="0" fontId="19" fillId="0" borderId="5" xfId="2" applyFill="1" applyBorder="1" applyProtection="1">
      <alignment vertical="center"/>
    </xf>
    <xf numFmtId="0" fontId="41" fillId="0" borderId="0" xfId="2" applyFont="1" applyFill="1" applyBorder="1" applyProtection="1">
      <alignment vertical="center"/>
    </xf>
    <xf numFmtId="9" fontId="37" fillId="0" borderId="0" xfId="4" applyFont="1" applyFill="1" applyBorder="1" applyAlignment="1" applyProtection="1">
      <alignment horizontal="right" vertical="center" shrinkToFit="1"/>
    </xf>
    <xf numFmtId="178" fontId="19" fillId="0" borderId="0" xfId="2" applyNumberFormat="1" applyFill="1" applyBorder="1" applyProtection="1">
      <alignment vertical="center"/>
    </xf>
    <xf numFmtId="0" fontId="65" fillId="0" borderId="32" xfId="2" applyFont="1" applyBorder="1" applyProtection="1">
      <alignment vertical="center"/>
    </xf>
    <xf numFmtId="0" fontId="65" fillId="0" borderId="33" xfId="2" applyFont="1" applyBorder="1" applyAlignment="1" applyProtection="1">
      <alignment horizontal="center" vertical="center"/>
    </xf>
    <xf numFmtId="179" fontId="37" fillId="0" borderId="29" xfId="2" applyNumberFormat="1" applyFont="1" applyBorder="1" applyAlignment="1" applyProtection="1">
      <alignment horizontal="center" vertical="center"/>
    </xf>
    <xf numFmtId="0" fontId="65" fillId="0" borderId="29" xfId="2" applyFont="1" applyBorder="1" applyAlignment="1" applyProtection="1">
      <alignment horizontal="center" vertical="center"/>
    </xf>
    <xf numFmtId="0" fontId="65" fillId="0" borderId="34" xfId="2" applyFont="1" applyBorder="1" applyAlignment="1" applyProtection="1">
      <alignment horizontal="center" vertical="center"/>
    </xf>
    <xf numFmtId="181" fontId="19" fillId="0" borderId="9" xfId="2" applyNumberFormat="1" applyBorder="1" applyProtection="1">
      <alignment vertical="center"/>
    </xf>
    <xf numFmtId="38" fontId="19" fillId="0" borderId="10" xfId="1" applyFont="1" applyFill="1" applyBorder="1" applyAlignment="1" applyProtection="1">
      <alignment horizontal="right" vertical="center" shrinkToFit="1"/>
    </xf>
    <xf numFmtId="0" fontId="19" fillId="0" borderId="10" xfId="2" applyFill="1" applyBorder="1" applyAlignment="1" applyProtection="1">
      <alignment horizontal="center" vertical="center" shrinkToFit="1"/>
    </xf>
    <xf numFmtId="0" fontId="65" fillId="0" borderId="0" xfId="2" applyFont="1" applyFill="1" applyBorder="1" applyAlignment="1" applyProtection="1">
      <alignment horizontal="center" vertical="center"/>
    </xf>
    <xf numFmtId="9" fontId="19" fillId="0" borderId="0" xfId="2" applyNumberFormat="1" applyFill="1" applyBorder="1" applyProtection="1">
      <alignment vertical="center"/>
    </xf>
    <xf numFmtId="0" fontId="37" fillId="0" borderId="35" xfId="2" applyFont="1" applyBorder="1" applyAlignment="1" applyProtection="1">
      <alignment horizontal="center" vertical="center"/>
    </xf>
    <xf numFmtId="181" fontId="19" fillId="0" borderId="11" xfId="2" applyNumberFormat="1" applyBorder="1" applyAlignment="1" applyProtection="1">
      <alignment horizontal="right" vertical="center"/>
    </xf>
    <xf numFmtId="38" fontId="19" fillId="0" borderId="6" xfId="2" applyNumberFormat="1" applyBorder="1" applyProtection="1">
      <alignment vertical="center"/>
    </xf>
    <xf numFmtId="0" fontId="19" fillId="0" borderId="6" xfId="2" applyBorder="1" applyAlignment="1" applyProtection="1">
      <alignment horizontal="center" vertical="center"/>
    </xf>
    <xf numFmtId="0" fontId="68" fillId="0" borderId="0" xfId="2" applyFont="1" applyFill="1" applyBorder="1" applyAlignment="1" applyProtection="1">
      <alignment vertical="center"/>
    </xf>
    <xf numFmtId="188" fontId="63" fillId="0" borderId="0" xfId="2" applyNumberFormat="1" applyFont="1" applyFill="1" applyBorder="1" applyAlignment="1" applyProtection="1"/>
    <xf numFmtId="0" fontId="37" fillId="0" borderId="38" xfId="2" applyFont="1" applyBorder="1" applyAlignment="1" applyProtection="1">
      <alignment horizontal="center" vertical="center"/>
    </xf>
    <xf numFmtId="181" fontId="19" fillId="0" borderId="4" xfId="2" applyNumberFormat="1" applyBorder="1" applyAlignment="1" applyProtection="1">
      <alignment horizontal="right" vertical="center"/>
    </xf>
    <xf numFmtId="38" fontId="19" fillId="0" borderId="12" xfId="2" applyNumberFormat="1" applyBorder="1" applyProtection="1">
      <alignment vertical="center"/>
    </xf>
    <xf numFmtId="0" fontId="19" fillId="0" borderId="12" xfId="2" applyBorder="1" applyAlignment="1" applyProtection="1">
      <alignment horizontal="center" vertical="center"/>
    </xf>
    <xf numFmtId="0" fontId="69" fillId="0" borderId="0" xfId="2" applyFont="1" applyFill="1" applyBorder="1" applyAlignment="1" applyProtection="1">
      <alignment vertical="center"/>
    </xf>
    <xf numFmtId="188" fontId="19" fillId="0" borderId="0" xfId="2" applyNumberFormat="1" applyFill="1" applyBorder="1" applyProtection="1">
      <alignment vertical="center"/>
    </xf>
    <xf numFmtId="0" fontId="19" fillId="0" borderId="36" xfId="2" applyBorder="1" applyProtection="1">
      <alignment vertical="center"/>
    </xf>
    <xf numFmtId="181" fontId="18" fillId="6" borderId="37" xfId="2" applyNumberFormat="1" applyFont="1" applyFill="1" applyBorder="1" applyAlignment="1" applyProtection="1">
      <alignment horizontal="right" vertical="center"/>
    </xf>
    <xf numFmtId="38" fontId="18" fillId="6" borderId="37" xfId="1" applyFont="1" applyFill="1" applyBorder="1" applyAlignment="1" applyProtection="1">
      <alignment horizontal="right" vertical="center"/>
    </xf>
    <xf numFmtId="0" fontId="19" fillId="0" borderId="30" xfId="2" applyBorder="1" applyProtection="1">
      <alignment vertical="center"/>
    </xf>
    <xf numFmtId="0" fontId="67" fillId="0" borderId="0" xfId="2" applyFont="1" applyFill="1" applyBorder="1" applyAlignment="1" applyProtection="1">
      <alignment vertical="center"/>
    </xf>
    <xf numFmtId="0" fontId="37" fillId="0" borderId="16" xfId="2" applyNumberFormat="1" applyFont="1" applyBorder="1" applyAlignment="1" applyProtection="1">
      <alignment horizontal="right" vertical="center"/>
    </xf>
    <xf numFmtId="0" fontId="37" fillId="0" borderId="17" xfId="2" applyFont="1" applyBorder="1" applyAlignment="1" applyProtection="1">
      <alignment horizontal="right" vertical="center"/>
    </xf>
    <xf numFmtId="49" fontId="37" fillId="0" borderId="17" xfId="3" applyNumberFormat="1" applyFont="1" applyBorder="1" applyAlignment="1" applyProtection="1">
      <alignment horizontal="right" vertical="center"/>
    </xf>
    <xf numFmtId="38" fontId="0" fillId="0" borderId="0" xfId="3" applyFont="1" applyFill="1" applyBorder="1" applyProtection="1">
      <alignment vertical="center"/>
    </xf>
    <xf numFmtId="0" fontId="60" fillId="0" borderId="5" xfId="2" applyFont="1" applyFill="1" applyBorder="1" applyAlignment="1" applyProtection="1">
      <alignment horizontal="center" vertical="top" wrapText="1"/>
    </xf>
    <xf numFmtId="0" fontId="67" fillId="0" borderId="6" xfId="2" applyFont="1" applyBorder="1" applyAlignment="1" applyProtection="1">
      <alignment horizontal="center" vertical="center"/>
    </xf>
    <xf numFmtId="0" fontId="41" fillId="0" borderId="6" xfId="2" applyFont="1" applyBorder="1" applyAlignment="1" applyProtection="1">
      <alignment horizontal="center" vertical="center"/>
    </xf>
    <xf numFmtId="0" fontId="67" fillId="0" borderId="0" xfId="2" applyFont="1" applyAlignment="1" applyProtection="1">
      <alignment horizontal="center" vertical="center"/>
    </xf>
    <xf numFmtId="0" fontId="60" fillId="0" borderId="0" xfId="2" applyFont="1" applyFill="1" applyBorder="1" applyAlignment="1" applyProtection="1">
      <alignment vertical="top" wrapText="1"/>
    </xf>
    <xf numFmtId="0" fontId="19" fillId="0" borderId="5" xfId="2" applyBorder="1" applyProtection="1">
      <alignment vertical="center"/>
    </xf>
    <xf numFmtId="0" fontId="63" fillId="0" borderId="0" xfId="2" applyFont="1" applyFill="1" applyBorder="1" applyProtection="1">
      <alignment vertical="center"/>
    </xf>
    <xf numFmtId="181" fontId="19" fillId="0" borderId="6" xfId="2" applyNumberFormat="1" applyBorder="1" applyAlignment="1" applyProtection="1">
      <alignment horizontal="right" vertical="center"/>
    </xf>
    <xf numFmtId="0" fontId="6" fillId="0" borderId="6" xfId="2" applyNumberFormat="1" applyFont="1" applyBorder="1" applyProtection="1">
      <alignment vertical="center"/>
    </xf>
    <xf numFmtId="0" fontId="19" fillId="0" borderId="0" xfId="2" applyBorder="1" applyAlignment="1" applyProtection="1">
      <alignment vertical="center" shrinkToFit="1"/>
    </xf>
    <xf numFmtId="0" fontId="37" fillId="0" borderId="8" xfId="2" applyFont="1" applyFill="1" applyBorder="1" applyProtection="1">
      <alignment vertical="center"/>
    </xf>
    <xf numFmtId="0" fontId="37" fillId="0" borderId="9" xfId="2" applyFont="1" applyFill="1" applyBorder="1" applyProtection="1">
      <alignment vertical="center"/>
    </xf>
    <xf numFmtId="0" fontId="37" fillId="0" borderId="0" xfId="2" applyFont="1" applyFill="1" applyBorder="1" applyAlignment="1" applyProtection="1">
      <alignment horizontal="left" vertical="center"/>
    </xf>
    <xf numFmtId="0" fontId="65" fillId="4" borderId="6" xfId="2" applyFont="1" applyFill="1" applyBorder="1" applyProtection="1">
      <alignment vertical="center"/>
      <protection locked="0"/>
    </xf>
    <xf numFmtId="0" fontId="65" fillId="9" borderId="6" xfId="2" applyFont="1" applyFill="1" applyBorder="1" applyAlignment="1" applyProtection="1">
      <alignment horizontal="right" vertical="center"/>
      <protection locked="0"/>
    </xf>
    <xf numFmtId="0" fontId="37" fillId="9" borderId="6" xfId="2" applyFont="1" applyFill="1" applyBorder="1" applyProtection="1">
      <alignment vertical="center"/>
      <protection locked="0"/>
    </xf>
    <xf numFmtId="40" fontId="0" fillId="13" borderId="6" xfId="3" applyNumberFormat="1" applyFont="1" applyFill="1" applyBorder="1" applyProtection="1">
      <alignment vertical="center"/>
      <protection locked="0"/>
    </xf>
    <xf numFmtId="0" fontId="37" fillId="4" borderId="6" xfId="2" applyFont="1" applyFill="1" applyBorder="1" applyProtection="1">
      <alignment vertical="center"/>
      <protection locked="0"/>
    </xf>
    <xf numFmtId="0" fontId="37" fillId="9" borderId="6" xfId="2" applyFont="1" applyFill="1" applyBorder="1" applyAlignment="1" applyProtection="1">
      <alignment horizontal="right" vertical="center"/>
      <protection locked="0"/>
    </xf>
    <xf numFmtId="38" fontId="0" fillId="13" borderId="6" xfId="3" applyFont="1" applyFill="1" applyBorder="1" applyProtection="1">
      <alignment vertical="center"/>
      <protection locked="0"/>
    </xf>
    <xf numFmtId="0" fontId="37" fillId="4" borderId="12" xfId="2" applyFont="1" applyFill="1" applyBorder="1" applyProtection="1">
      <alignment vertical="center"/>
      <protection locked="0"/>
    </xf>
    <xf numFmtId="0" fontId="37" fillId="9" borderId="12" xfId="2" applyFont="1" applyFill="1" applyBorder="1" applyAlignment="1" applyProtection="1">
      <alignment horizontal="right" vertical="center"/>
      <protection locked="0"/>
    </xf>
    <xf numFmtId="0" fontId="37" fillId="9" borderId="12" xfId="2" applyFont="1" applyFill="1" applyBorder="1" applyProtection="1">
      <alignment vertical="center"/>
      <protection locked="0"/>
    </xf>
    <xf numFmtId="38" fontId="0" fillId="13" borderId="12" xfId="3" applyFont="1" applyFill="1" applyBorder="1" applyProtection="1">
      <alignment vertical="center"/>
      <protection locked="0"/>
    </xf>
    <xf numFmtId="0" fontId="37" fillId="4" borderId="10" xfId="2" applyFont="1" applyFill="1" applyBorder="1" applyProtection="1">
      <alignment vertical="center"/>
      <protection locked="0"/>
    </xf>
    <xf numFmtId="0" fontId="37" fillId="9" borderId="10" xfId="2" applyFont="1" applyFill="1" applyBorder="1" applyAlignment="1" applyProtection="1">
      <alignment horizontal="right" vertical="center"/>
      <protection locked="0"/>
    </xf>
    <xf numFmtId="0" fontId="37" fillId="9" borderId="10" xfId="2" applyFont="1" applyFill="1" applyBorder="1" applyProtection="1">
      <alignment vertical="center"/>
      <protection locked="0"/>
    </xf>
    <xf numFmtId="38" fontId="0" fillId="13" borderId="10" xfId="3" applyFont="1" applyFill="1" applyBorder="1" applyProtection="1">
      <alignment vertical="center"/>
      <protection locked="0"/>
    </xf>
    <xf numFmtId="0" fontId="19" fillId="13" borderId="6" xfId="2" applyFill="1" applyBorder="1" applyProtection="1">
      <alignment vertical="center"/>
      <protection locked="0"/>
    </xf>
    <xf numFmtId="0" fontId="0" fillId="0" borderId="6" xfId="0" applyBorder="1">
      <alignment vertical="center"/>
    </xf>
    <xf numFmtId="0" fontId="3" fillId="0" borderId="6" xfId="2" applyFont="1" applyBorder="1">
      <alignment vertical="center"/>
    </xf>
    <xf numFmtId="0" fontId="37" fillId="17" borderId="6" xfId="0" applyFont="1" applyFill="1" applyBorder="1">
      <alignment vertical="center"/>
    </xf>
    <xf numFmtId="0" fontId="0" fillId="17" borderId="6" xfId="0" applyFill="1" applyBorder="1">
      <alignment vertical="center"/>
    </xf>
    <xf numFmtId="0" fontId="0" fillId="0" borderId="6" xfId="0" applyNumberFormat="1" applyFill="1" applyBorder="1">
      <alignment vertical="center"/>
    </xf>
    <xf numFmtId="0" fontId="37" fillId="0" borderId="0" xfId="0" applyFont="1" applyFill="1" applyBorder="1" applyAlignment="1">
      <alignment horizontal="left" vertical="center"/>
    </xf>
    <xf numFmtId="38" fontId="37" fillId="10" borderId="6" xfId="1" applyFont="1" applyFill="1" applyBorder="1" applyProtection="1">
      <alignment vertical="center"/>
      <protection locked="0"/>
    </xf>
    <xf numFmtId="0" fontId="37" fillId="9" borderId="6" xfId="0" applyFont="1" applyFill="1" applyBorder="1" applyProtection="1">
      <alignment vertical="center"/>
      <protection locked="0"/>
    </xf>
    <xf numFmtId="0" fontId="37" fillId="9" borderId="6" xfId="0" applyFont="1" applyFill="1" applyBorder="1" applyAlignment="1" applyProtection="1">
      <alignment horizontal="center" vertical="center"/>
      <protection locked="0"/>
    </xf>
    <xf numFmtId="9" fontId="37" fillId="9" borderId="6" xfId="0" applyNumberFormat="1" applyFont="1" applyFill="1" applyBorder="1" applyProtection="1">
      <alignment vertical="center"/>
      <protection locked="0"/>
    </xf>
    <xf numFmtId="0" fontId="72" fillId="0" borderId="40" xfId="5" applyFont="1" applyFill="1" applyBorder="1">
      <alignment vertical="center"/>
    </xf>
    <xf numFmtId="0" fontId="72" fillId="0" borderId="40" xfId="5" applyFont="1" applyBorder="1">
      <alignment vertical="center"/>
    </xf>
    <xf numFmtId="0" fontId="72" fillId="0" borderId="40" xfId="5" applyFont="1" applyBorder="1" applyAlignment="1">
      <alignment horizontal="center" vertical="center"/>
    </xf>
    <xf numFmtId="0" fontId="72" fillId="0" borderId="40" xfId="5" applyFont="1" applyFill="1" applyBorder="1" applyAlignment="1">
      <alignment vertical="center" shrinkToFit="1"/>
    </xf>
    <xf numFmtId="0" fontId="37" fillId="0" borderId="40" xfId="2" applyFont="1" applyFill="1" applyBorder="1" applyAlignment="1">
      <alignment vertical="center"/>
    </xf>
    <xf numFmtId="0" fontId="37" fillId="0" borderId="40" xfId="2" applyFont="1" applyFill="1" applyBorder="1" applyAlignment="1">
      <alignment horizontal="center" vertical="center"/>
    </xf>
    <xf numFmtId="185" fontId="72" fillId="0" borderId="40" xfId="5" applyNumberFormat="1" applyFont="1" applyFill="1" applyBorder="1" applyAlignment="1">
      <alignment vertical="center"/>
    </xf>
    <xf numFmtId="38" fontId="72" fillId="0" borderId="40" xfId="1" applyFont="1" applyBorder="1">
      <alignment vertical="center"/>
    </xf>
    <xf numFmtId="0" fontId="72" fillId="0" borderId="40" xfId="5" applyFont="1" applyFill="1" applyBorder="1" applyAlignment="1">
      <alignment vertical="center"/>
    </xf>
    <xf numFmtId="9" fontId="83" fillId="0" borderId="40" xfId="5" applyNumberFormat="1" applyFont="1" applyBorder="1" applyAlignment="1">
      <alignment horizontal="left" vertical="center"/>
    </xf>
    <xf numFmtId="0" fontId="82" fillId="0" borderId="40" xfId="5" applyFont="1" applyFill="1" applyBorder="1">
      <alignment vertical="center"/>
    </xf>
    <xf numFmtId="0" fontId="72" fillId="0" borderId="40" xfId="5" applyFont="1" applyBorder="1" applyAlignment="1">
      <alignment vertical="center"/>
    </xf>
    <xf numFmtId="185" fontId="73" fillId="0" borderId="40" xfId="5" applyNumberFormat="1" applyFont="1" applyBorder="1" applyAlignment="1">
      <alignment vertical="center" shrinkToFit="1"/>
    </xf>
    <xf numFmtId="185" fontId="73" fillId="0" borderId="40" xfId="5" applyNumberFormat="1" applyFont="1" applyBorder="1" applyAlignment="1">
      <alignment horizontal="right" vertical="center" shrinkToFit="1"/>
    </xf>
    <xf numFmtId="0" fontId="82" fillId="0" borderId="40" xfId="5" applyFont="1" applyFill="1" applyBorder="1" applyAlignment="1">
      <alignment vertical="center" shrinkToFit="1"/>
    </xf>
    <xf numFmtId="38" fontId="82" fillId="0" borderId="40" xfId="1" applyFont="1" applyFill="1" applyBorder="1" applyAlignment="1">
      <alignment horizontal="left" vertical="center" shrinkToFit="1"/>
    </xf>
    <xf numFmtId="0" fontId="72" fillId="0" borderId="40" xfId="0" applyFont="1" applyBorder="1" applyAlignment="1">
      <alignment vertical="center"/>
    </xf>
    <xf numFmtId="0" fontId="80" fillId="0" borderId="40" xfId="5" applyFont="1" applyFill="1" applyBorder="1" applyAlignment="1">
      <alignment vertical="center" shrinkToFit="1"/>
    </xf>
    <xf numFmtId="0" fontId="72" fillId="0" borderId="40" xfId="5" applyFont="1" applyBorder="1" applyAlignment="1">
      <alignment vertical="center" shrinkToFit="1"/>
    </xf>
    <xf numFmtId="9" fontId="83" fillId="0" borderId="40" xfId="5" applyNumberFormat="1" applyFont="1" applyBorder="1" applyAlignment="1">
      <alignment horizontal="left" vertical="center" shrinkToFit="1"/>
    </xf>
    <xf numFmtId="190" fontId="72" fillId="0" borderId="40" xfId="5" applyNumberFormat="1" applyFont="1" applyBorder="1" applyAlignment="1">
      <alignment vertical="center"/>
    </xf>
    <xf numFmtId="191" fontId="72" fillId="0" borderId="40" xfId="5" applyNumberFormat="1" applyFont="1" applyBorder="1" applyAlignment="1">
      <alignment vertical="center" shrinkToFit="1"/>
    </xf>
    <xf numFmtId="181" fontId="72" fillId="0" borderId="40" xfId="5" applyNumberFormat="1" applyFont="1" applyBorder="1" applyAlignment="1">
      <alignment horizontal="center" vertical="center"/>
    </xf>
    <xf numFmtId="1" fontId="81" fillId="0" borderId="40" xfId="5" applyNumberFormat="1" applyFont="1" applyBorder="1" applyAlignment="1">
      <alignment vertical="center"/>
    </xf>
    <xf numFmtId="0" fontId="74" fillId="0" borderId="40" xfId="5" applyFont="1" applyBorder="1" applyAlignment="1">
      <alignment vertical="center" wrapText="1"/>
    </xf>
    <xf numFmtId="38" fontId="72" fillId="0" borderId="40" xfId="1" applyFont="1" applyBorder="1" applyAlignment="1">
      <alignment vertical="center" shrinkToFit="1"/>
    </xf>
    <xf numFmtId="192" fontId="72" fillId="0" borderId="40" xfId="1" applyNumberFormat="1" applyFont="1" applyBorder="1" applyAlignment="1">
      <alignment vertical="center" shrinkToFit="1"/>
    </xf>
    <xf numFmtId="0" fontId="75" fillId="0" borderId="40" xfId="5" applyFont="1" applyFill="1" applyBorder="1" applyAlignment="1">
      <alignment vertical="top"/>
    </xf>
    <xf numFmtId="190" fontId="74" fillId="0" borderId="40" xfId="5" applyNumberFormat="1" applyFont="1" applyBorder="1" applyAlignment="1">
      <alignment vertical="center" wrapText="1"/>
    </xf>
    <xf numFmtId="38" fontId="72" fillId="0" borderId="40" xfId="1" applyFont="1" applyBorder="1" applyAlignment="1">
      <alignment vertical="center"/>
    </xf>
    <xf numFmtId="192" fontId="72" fillId="0" borderId="40" xfId="5" applyNumberFormat="1" applyFont="1" applyBorder="1" applyAlignment="1">
      <alignment vertical="center"/>
    </xf>
    <xf numFmtId="0" fontId="72" fillId="0" borderId="40" xfId="5" applyFont="1" applyFill="1" applyBorder="1" applyAlignment="1">
      <alignment vertical="top" wrapText="1"/>
    </xf>
    <xf numFmtId="0" fontId="72" fillId="0" borderId="40" xfId="5" applyFont="1" applyFill="1" applyBorder="1" applyAlignment="1">
      <alignment horizontal="right" vertical="top" wrapText="1"/>
    </xf>
    <xf numFmtId="0" fontId="72" fillId="16" borderId="41" xfId="5" applyFont="1" applyFill="1" applyBorder="1">
      <alignment vertical="center"/>
    </xf>
    <xf numFmtId="0" fontId="72" fillId="16" borderId="42" xfId="5" applyFont="1" applyFill="1" applyBorder="1">
      <alignment vertical="center"/>
    </xf>
    <xf numFmtId="0" fontId="72" fillId="0" borderId="44" xfId="5" applyFont="1" applyFill="1" applyBorder="1" applyAlignment="1">
      <alignment vertical="top" wrapText="1"/>
    </xf>
    <xf numFmtId="0" fontId="72" fillId="0" borderId="44" xfId="5" applyFont="1" applyBorder="1">
      <alignment vertical="center"/>
    </xf>
    <xf numFmtId="0" fontId="72" fillId="0" borderId="43" xfId="5" applyFont="1" applyFill="1" applyBorder="1">
      <alignment vertical="center"/>
    </xf>
    <xf numFmtId="0" fontId="72" fillId="0" borderId="43" xfId="5" applyFont="1" applyBorder="1">
      <alignment vertical="center"/>
    </xf>
    <xf numFmtId="0" fontId="2" fillId="0" borderId="6" xfId="2" applyFont="1" applyFill="1" applyBorder="1">
      <alignment vertical="center"/>
    </xf>
    <xf numFmtId="0" fontId="82" fillId="0" borderId="40" xfId="5" applyFont="1" applyFill="1" applyBorder="1" applyAlignment="1">
      <alignment horizontal="left" vertical="center"/>
    </xf>
    <xf numFmtId="0" fontId="72" fillId="0" borderId="40" xfId="0" applyFont="1" applyBorder="1" applyAlignment="1">
      <alignment horizontal="left" vertical="center"/>
    </xf>
    <xf numFmtId="38" fontId="82" fillId="0" borderId="40" xfId="1" applyFont="1" applyFill="1" applyBorder="1" applyAlignment="1">
      <alignment horizontal="left" vertical="center"/>
    </xf>
    <xf numFmtId="0" fontId="83" fillId="0" borderId="40" xfId="5" applyFont="1" applyBorder="1" applyAlignment="1">
      <alignment horizontal="center" vertical="center" shrinkToFit="1"/>
    </xf>
    <xf numFmtId="9" fontId="83" fillId="0" borderId="40" xfId="5" applyNumberFormat="1" applyFont="1" applyFill="1" applyBorder="1" applyAlignment="1">
      <alignment horizontal="right" vertical="center"/>
    </xf>
    <xf numFmtId="0" fontId="83" fillId="0" borderId="40" xfId="5" applyFont="1" applyBorder="1" applyAlignment="1">
      <alignment horizontal="right" vertical="center"/>
    </xf>
    <xf numFmtId="9" fontId="83" fillId="0" borderId="40" xfId="5" applyNumberFormat="1" applyFont="1" applyBorder="1" applyAlignment="1">
      <alignment horizontal="left" vertical="center" shrinkToFit="1"/>
    </xf>
    <xf numFmtId="0" fontId="82" fillId="0" borderId="40" xfId="5" applyFont="1" applyFill="1" applyBorder="1" applyAlignment="1">
      <alignment horizontal="left" vertical="center" wrapText="1"/>
    </xf>
    <xf numFmtId="0" fontId="72" fillId="0" borderId="40" xfId="5" applyFont="1" applyFill="1" applyBorder="1" applyAlignment="1">
      <alignment horizontal="left" vertical="top" wrapText="1"/>
    </xf>
    <xf numFmtId="0" fontId="83" fillId="0" borderId="40" xfId="5" applyFont="1" applyFill="1" applyBorder="1" applyAlignment="1">
      <alignment horizontal="center" vertical="center"/>
    </xf>
    <xf numFmtId="0" fontId="83" fillId="0" borderId="40" xfId="5" applyFont="1" applyBorder="1" applyAlignment="1">
      <alignment horizontal="center" vertical="center"/>
    </xf>
    <xf numFmtId="9" fontId="83" fillId="0" borderId="40" xfId="5" applyNumberFormat="1" applyFont="1" applyFill="1" applyBorder="1" applyAlignment="1">
      <alignment horizontal="left" vertical="center"/>
    </xf>
    <xf numFmtId="0" fontId="72" fillId="0" borderId="40" xfId="5" applyFont="1" applyFill="1" applyBorder="1" applyAlignment="1">
      <alignment horizontal="right" vertical="top" wrapText="1"/>
    </xf>
    <xf numFmtId="0" fontId="72" fillId="0" borderId="40" xfId="5" applyFont="1" applyFill="1" applyBorder="1" applyAlignment="1">
      <alignment horizontal="left" vertical="top" shrinkToFit="1"/>
    </xf>
    <xf numFmtId="0" fontId="72" fillId="15" borderId="40" xfId="5" applyFont="1" applyFill="1" applyBorder="1" applyAlignment="1">
      <alignment horizontal="left" vertical="top" wrapText="1"/>
    </xf>
    <xf numFmtId="0" fontId="72" fillId="15" borderId="40" xfId="5" applyFont="1" applyFill="1" applyBorder="1" applyAlignment="1">
      <alignment horizontal="left" vertical="top" shrinkToFit="1"/>
    </xf>
    <xf numFmtId="0" fontId="37" fillId="10" borderId="13" xfId="0" applyFont="1" applyFill="1" applyBorder="1" applyAlignment="1" applyProtection="1">
      <alignment horizontal="left" vertical="center"/>
      <protection locked="0"/>
    </xf>
    <xf numFmtId="0" fontId="37" fillId="10" borderId="11" xfId="0" applyFont="1" applyFill="1" applyBorder="1" applyAlignment="1" applyProtection="1">
      <alignment horizontal="left" vertical="center"/>
      <protection locked="0"/>
    </xf>
    <xf numFmtId="0" fontId="37" fillId="10" borderId="6" xfId="0" applyFont="1" applyFill="1" applyBorder="1" applyAlignment="1" applyProtection="1">
      <alignment horizontal="left" vertical="center"/>
      <protection locked="0"/>
    </xf>
    <xf numFmtId="0" fontId="37" fillId="0" borderId="6" xfId="0" applyFont="1" applyBorder="1" applyAlignment="1">
      <alignment horizontal="center" vertical="center"/>
    </xf>
    <xf numFmtId="0" fontId="0" fillId="0" borderId="6" xfId="0" applyBorder="1" applyAlignment="1">
      <alignment horizontal="center" vertical="center"/>
    </xf>
    <xf numFmtId="0" fontId="37" fillId="4" borderId="6" xfId="0" applyFont="1" applyFill="1" applyBorder="1" applyAlignment="1" applyProtection="1">
      <alignment horizontal="left" vertical="center"/>
      <protection locked="0"/>
    </xf>
    <xf numFmtId="0" fontId="37" fillId="3" borderId="6" xfId="0" applyFont="1" applyFill="1" applyBorder="1" applyAlignment="1">
      <alignment horizontal="right" vertical="center"/>
    </xf>
    <xf numFmtId="0" fontId="19" fillId="10" borderId="6" xfId="2" applyFont="1" applyFill="1" applyBorder="1" applyAlignment="1" applyProtection="1">
      <alignment horizontal="center" vertical="center"/>
    </xf>
    <xf numFmtId="0" fontId="19" fillId="9" borderId="6" xfId="2" applyFont="1" applyFill="1" applyBorder="1" applyAlignment="1" applyProtection="1">
      <alignment horizontal="center" vertical="center"/>
    </xf>
    <xf numFmtId="0" fontId="19" fillId="4" borderId="6" xfId="2" applyFont="1" applyFill="1" applyBorder="1" applyAlignment="1" applyProtection="1">
      <alignment horizontal="center" vertical="center"/>
    </xf>
    <xf numFmtId="0" fontId="19" fillId="0" borderId="0" xfId="2" applyFill="1" applyBorder="1" applyAlignment="1">
      <alignment horizontal="center" vertical="center"/>
    </xf>
    <xf numFmtId="0" fontId="37" fillId="3" borderId="6" xfId="2" applyFont="1" applyFill="1" applyBorder="1" applyAlignment="1">
      <alignment horizontal="center" vertical="center" wrapText="1"/>
    </xf>
    <xf numFmtId="0" fontId="37" fillId="3" borderId="6" xfId="0" applyFont="1" applyFill="1" applyBorder="1" applyAlignment="1">
      <alignment horizontal="center" vertical="center"/>
    </xf>
    <xf numFmtId="0" fontId="37" fillId="3" borderId="2"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7" xfId="0" applyFont="1" applyFill="1" applyBorder="1" applyAlignment="1">
      <alignment horizontal="center" vertical="center"/>
    </xf>
    <xf numFmtId="0" fontId="37" fillId="3" borderId="9" xfId="0" applyFont="1" applyFill="1" applyBorder="1" applyAlignment="1">
      <alignment horizontal="center" vertical="center"/>
    </xf>
    <xf numFmtId="0" fontId="14" fillId="0" borderId="6" xfId="2" applyFont="1" applyBorder="1" applyAlignment="1" applyProtection="1">
      <alignment horizontal="center" vertical="center"/>
    </xf>
    <xf numFmtId="0" fontId="19" fillId="0" borderId="6" xfId="2" applyBorder="1" applyAlignment="1" applyProtection="1">
      <alignment horizontal="center" vertical="center"/>
    </xf>
    <xf numFmtId="0" fontId="37" fillId="9" borderId="13" xfId="2" applyFont="1" applyFill="1" applyBorder="1" applyAlignment="1" applyProtection="1">
      <alignment horizontal="left" vertical="center" shrinkToFit="1"/>
      <protection locked="0"/>
    </xf>
    <xf numFmtId="0" fontId="37" fillId="9" borderId="19" xfId="2" applyFont="1" applyFill="1" applyBorder="1" applyAlignment="1" applyProtection="1">
      <alignment horizontal="left" vertical="center" shrinkToFit="1"/>
      <protection locked="0"/>
    </xf>
    <xf numFmtId="0" fontId="37" fillId="9" borderId="11" xfId="2" applyFont="1" applyFill="1" applyBorder="1" applyAlignment="1" applyProtection="1">
      <alignment horizontal="left" vertical="center" shrinkToFit="1"/>
      <protection locked="0"/>
    </xf>
    <xf numFmtId="0" fontId="37" fillId="4" borderId="6" xfId="2" applyFont="1" applyFill="1" applyBorder="1" applyAlignment="1" applyProtection="1">
      <alignment horizontal="left" vertical="center" shrinkToFit="1"/>
      <protection locked="0"/>
    </xf>
    <xf numFmtId="0" fontId="37" fillId="9" borderId="6" xfId="2" applyFont="1" applyFill="1" applyBorder="1" applyAlignment="1" applyProtection="1">
      <alignment horizontal="center" vertical="center" shrinkToFit="1"/>
      <protection locked="0"/>
    </xf>
    <xf numFmtId="0" fontId="37" fillId="4" borderId="6" xfId="2" applyFont="1" applyFill="1" applyBorder="1" applyAlignment="1" applyProtection="1">
      <alignment horizontal="left" vertical="center"/>
      <protection locked="0"/>
    </xf>
    <xf numFmtId="0" fontId="37" fillId="0" borderId="6" xfId="2" applyFont="1" applyFill="1" applyBorder="1" applyAlignment="1">
      <alignment horizontal="center" vertical="center" shrinkToFit="1"/>
    </xf>
    <xf numFmtId="0" fontId="37" fillId="0" borderId="0" xfId="2" applyFont="1" applyBorder="1" applyAlignment="1" applyProtection="1">
      <alignment horizontal="center" vertical="center"/>
    </xf>
    <xf numFmtId="0" fontId="37" fillId="10" borderId="6" xfId="2" applyFont="1" applyFill="1" applyBorder="1" applyAlignment="1" applyProtection="1">
      <alignment vertical="center" shrinkToFit="1"/>
      <protection locked="0"/>
    </xf>
    <xf numFmtId="185" fontId="37" fillId="12" borderId="13" xfId="2" applyNumberFormat="1" applyFont="1" applyFill="1" applyBorder="1" applyAlignment="1" applyProtection="1">
      <alignment horizontal="right" vertical="center" shrinkToFit="1"/>
      <protection locked="0"/>
    </xf>
    <xf numFmtId="185" fontId="37" fillId="12" borderId="11" xfId="2" applyNumberFormat="1" applyFont="1" applyFill="1" applyBorder="1" applyAlignment="1" applyProtection="1">
      <alignment horizontal="right" vertical="center" shrinkToFit="1"/>
      <protection locked="0"/>
    </xf>
    <xf numFmtId="0" fontId="37" fillId="9" borderId="6" xfId="2" applyFont="1" applyFill="1" applyBorder="1" applyAlignment="1" applyProtection="1">
      <alignment horizontal="left" vertical="center" shrinkToFit="1"/>
      <protection locked="0"/>
    </xf>
    <xf numFmtId="185" fontId="37" fillId="12" borderId="6" xfId="2" applyNumberFormat="1" applyFont="1" applyFill="1" applyBorder="1" applyAlignment="1" applyProtection="1">
      <alignment horizontal="left" vertical="center" shrinkToFit="1"/>
      <protection locked="0"/>
    </xf>
    <xf numFmtId="185" fontId="37" fillId="0" borderId="0" xfId="2" applyNumberFormat="1" applyFont="1" applyFill="1" applyBorder="1" applyAlignment="1" applyProtection="1">
      <alignment horizontal="left" vertical="center" shrinkToFit="1"/>
    </xf>
    <xf numFmtId="0" fontId="19" fillId="0" borderId="13" xfId="2" applyFill="1" applyBorder="1" applyAlignment="1">
      <alignment horizontal="center" vertical="center" shrinkToFit="1"/>
    </xf>
    <xf numFmtId="0" fontId="19" fillId="0" borderId="11" xfId="2" applyFill="1" applyBorder="1" applyAlignment="1">
      <alignment horizontal="center" vertical="center" shrinkToFit="1"/>
    </xf>
    <xf numFmtId="0" fontId="37" fillId="0" borderId="0" xfId="2" applyFont="1" applyFill="1" applyBorder="1" applyAlignment="1" applyProtection="1">
      <alignment horizontal="center" vertical="center"/>
      <protection locked="0"/>
    </xf>
    <xf numFmtId="0" fontId="65" fillId="0" borderId="0" xfId="2" applyFont="1" applyFill="1" applyBorder="1" applyAlignment="1" applyProtection="1">
      <alignment horizontal="center" vertical="center"/>
    </xf>
    <xf numFmtId="0" fontId="67" fillId="0" borderId="0" xfId="2" applyFont="1" applyFill="1" applyBorder="1" applyAlignment="1" applyProtection="1">
      <alignment horizontal="center" vertical="center"/>
    </xf>
    <xf numFmtId="0" fontId="17" fillId="0" borderId="11" xfId="2" applyFont="1" applyBorder="1" applyAlignment="1" applyProtection="1">
      <alignment horizontal="center" vertical="center"/>
    </xf>
    <xf numFmtId="0" fontId="17" fillId="0" borderId="6" xfId="2" applyFont="1" applyBorder="1" applyAlignment="1" applyProtection="1">
      <alignment horizontal="center" vertical="center"/>
    </xf>
    <xf numFmtId="0" fontId="65" fillId="0" borderId="0" xfId="2" applyFont="1" applyBorder="1" applyAlignment="1" applyProtection="1">
      <alignment horizontal="center" vertical="center"/>
    </xf>
    <xf numFmtId="0" fontId="60" fillId="4" borderId="6" xfId="2" applyFont="1" applyFill="1" applyBorder="1" applyAlignment="1" applyProtection="1">
      <alignment horizontal="left" vertical="top" wrapText="1"/>
      <protection locked="0"/>
    </xf>
    <xf numFmtId="0" fontId="19" fillId="8" borderId="6" xfId="2" applyFill="1" applyBorder="1" applyAlignment="1">
      <alignment horizontal="center" vertical="center"/>
    </xf>
    <xf numFmtId="0" fontId="67" fillId="0" borderId="6" xfId="2" applyFont="1" applyBorder="1" applyAlignment="1">
      <alignment horizontal="left" vertical="center"/>
    </xf>
    <xf numFmtId="0" fontId="34" fillId="3" borderId="12" xfId="2" applyFont="1" applyFill="1" applyBorder="1" applyAlignment="1">
      <alignment horizontal="center" vertical="center" wrapText="1"/>
    </xf>
    <xf numFmtId="0" fontId="34" fillId="3" borderId="10" xfId="2" applyFont="1" applyFill="1" applyBorder="1" applyAlignment="1">
      <alignment horizontal="center" vertical="center" wrapText="1"/>
    </xf>
    <xf numFmtId="0" fontId="0" fillId="3" borderId="12" xfId="2" applyFont="1" applyFill="1" applyBorder="1" applyAlignment="1">
      <alignment horizontal="center" vertical="center" wrapText="1"/>
    </xf>
    <xf numFmtId="0" fontId="0" fillId="3" borderId="12" xfId="2" applyFont="1" applyFill="1" applyBorder="1" applyAlignment="1">
      <alignment horizontal="center" vertical="center"/>
    </xf>
    <xf numFmtId="0" fontId="34" fillId="3" borderId="10" xfId="2" applyFont="1" applyFill="1" applyBorder="1" applyAlignment="1">
      <alignment horizontal="center" vertical="center"/>
    </xf>
    <xf numFmtId="0" fontId="78" fillId="0" borderId="0" xfId="2" applyFont="1" applyAlignment="1">
      <alignment horizontal="left" wrapText="1"/>
    </xf>
    <xf numFmtId="0" fontId="37" fillId="3" borderId="12" xfId="2" applyFont="1" applyFill="1" applyBorder="1" applyAlignment="1">
      <alignment horizontal="center" vertical="center"/>
    </xf>
    <xf numFmtId="0" fontId="37" fillId="3" borderId="10" xfId="2" applyFont="1" applyFill="1" applyBorder="1" applyAlignment="1">
      <alignment horizontal="center" vertical="center"/>
    </xf>
    <xf numFmtId="0" fontId="79" fillId="3" borderId="2" xfId="2" applyFont="1" applyFill="1" applyBorder="1" applyAlignment="1">
      <alignment horizontal="center" vertical="center"/>
    </xf>
    <xf numFmtId="0" fontId="79" fillId="3" borderId="4" xfId="2" applyFont="1" applyFill="1" applyBorder="1" applyAlignment="1">
      <alignment horizontal="center" vertical="center"/>
    </xf>
    <xf numFmtId="0" fontId="79" fillId="3" borderId="7" xfId="2" applyFont="1" applyFill="1" applyBorder="1" applyAlignment="1">
      <alignment horizontal="center" vertical="center"/>
    </xf>
    <xf numFmtId="0" fontId="79" fillId="3" borderId="9" xfId="2" applyFont="1" applyFill="1" applyBorder="1" applyAlignment="1">
      <alignment horizontal="center" vertical="center"/>
    </xf>
    <xf numFmtId="0" fontId="37" fillId="3" borderId="12" xfId="2" applyFont="1" applyFill="1" applyBorder="1" applyAlignment="1">
      <alignment horizontal="center" vertical="center" wrapText="1"/>
    </xf>
    <xf numFmtId="0" fontId="37" fillId="3" borderId="10" xfId="2" applyFont="1" applyFill="1" applyBorder="1" applyAlignment="1">
      <alignment horizontal="center" vertical="center" wrapText="1"/>
    </xf>
    <xf numFmtId="0" fontId="65" fillId="0" borderId="13" xfId="2" applyFont="1" applyFill="1" applyBorder="1" applyAlignment="1">
      <alignment horizontal="left" vertical="center"/>
    </xf>
    <xf numFmtId="0" fontId="65" fillId="0" borderId="11" xfId="2" applyFont="1" applyFill="1" applyBorder="1" applyAlignment="1">
      <alignment horizontal="left" vertical="center"/>
    </xf>
    <xf numFmtId="0" fontId="19" fillId="0" borderId="39" xfId="2" applyBorder="1" applyAlignment="1">
      <alignment horizontal="center" vertical="center"/>
    </xf>
    <xf numFmtId="0" fontId="19" fillId="0" borderId="31" xfId="2" applyBorder="1" applyAlignment="1">
      <alignment horizontal="center" vertical="center"/>
    </xf>
    <xf numFmtId="0" fontId="17" fillId="0" borderId="33" xfId="2" applyFont="1" applyBorder="1" applyAlignment="1">
      <alignment horizontal="center" vertical="center"/>
    </xf>
    <xf numFmtId="0" fontId="19" fillId="0" borderId="29" xfId="2" applyBorder="1" applyAlignment="1">
      <alignment horizontal="center" vertical="center"/>
    </xf>
    <xf numFmtId="0" fontId="38" fillId="3" borderId="6" xfId="2" applyFont="1" applyFill="1" applyBorder="1" applyAlignment="1">
      <alignment horizontal="center" vertical="center" wrapText="1"/>
    </xf>
    <xf numFmtId="0" fontId="70" fillId="0" borderId="0" xfId="2" applyFont="1" applyBorder="1" applyAlignment="1">
      <alignment horizontal="center" vertical="center"/>
    </xf>
    <xf numFmtId="0" fontId="34" fillId="3" borderId="12" xfId="2" applyFont="1" applyFill="1" applyBorder="1" applyAlignment="1">
      <alignment horizontal="center" vertical="center"/>
    </xf>
    <xf numFmtId="0" fontId="12" fillId="0" borderId="6" xfId="2" applyFont="1" applyBorder="1" applyAlignment="1">
      <alignment horizontal="center" vertical="center" wrapText="1" shrinkToFit="1"/>
    </xf>
    <xf numFmtId="0" fontId="12" fillId="0" borderId="6" xfId="2" applyFont="1" applyBorder="1" applyAlignment="1">
      <alignment horizontal="center" vertical="center" shrinkToFit="1"/>
    </xf>
    <xf numFmtId="0" fontId="12" fillId="0" borderId="6" xfId="2" applyFont="1" applyBorder="1" applyAlignment="1">
      <alignment horizontal="center" vertical="center"/>
    </xf>
    <xf numFmtId="0" fontId="19" fillId="0" borderId="6" xfId="2" applyBorder="1" applyAlignment="1">
      <alignment horizontal="center" vertical="center"/>
    </xf>
    <xf numFmtId="0" fontId="37" fillId="3" borderId="6" xfId="2" applyFont="1" applyFill="1" applyBorder="1" applyAlignment="1">
      <alignment horizontal="center" vertical="center"/>
    </xf>
    <xf numFmtId="0" fontId="79" fillId="3" borderId="6" xfId="2" applyFont="1" applyFill="1" applyBorder="1" applyAlignment="1">
      <alignment horizontal="center" vertical="center"/>
    </xf>
    <xf numFmtId="0" fontId="65" fillId="4" borderId="13" xfId="2" applyFont="1" applyFill="1" applyBorder="1" applyAlignment="1" applyProtection="1">
      <alignment horizontal="left" vertical="center"/>
      <protection locked="0"/>
    </xf>
    <xf numFmtId="0" fontId="65" fillId="4" borderId="11" xfId="2" applyFont="1" applyFill="1" applyBorder="1" applyAlignment="1" applyProtection="1">
      <alignment horizontal="left" vertical="center"/>
      <protection locked="0"/>
    </xf>
    <xf numFmtId="178" fontId="25" fillId="0" borderId="6" xfId="0" applyNumberFormat="1" applyFont="1" applyBorder="1" applyAlignment="1" applyProtection="1">
      <alignment horizontal="center" vertical="center"/>
    </xf>
    <xf numFmtId="178" fontId="25" fillId="0" borderId="6" xfId="0" applyNumberFormat="1" applyFont="1" applyFill="1" applyBorder="1" applyAlignment="1" applyProtection="1">
      <alignment horizontal="center" vertical="center"/>
    </xf>
    <xf numFmtId="0" fontId="19" fillId="0" borderId="13" xfId="2" applyFill="1" applyBorder="1" applyAlignment="1">
      <alignment horizontal="center" vertical="center"/>
    </xf>
    <xf numFmtId="0" fontId="19" fillId="0" borderId="19" xfId="2" applyFill="1" applyBorder="1" applyAlignment="1">
      <alignment horizontal="center" vertical="center"/>
    </xf>
    <xf numFmtId="0" fontId="19" fillId="0" borderId="11" xfId="2" applyFill="1" applyBorder="1" applyAlignment="1">
      <alignment horizontal="center" vertical="center"/>
    </xf>
    <xf numFmtId="0" fontId="36" fillId="0" borderId="20" xfId="0" applyFont="1" applyBorder="1" applyAlignment="1">
      <alignment horizontal="center" vertical="center"/>
    </xf>
    <xf numFmtId="0" fontId="36" fillId="0" borderId="21" xfId="0" applyFont="1" applyBorder="1" applyAlignment="1">
      <alignment horizontal="center" vertical="center"/>
    </xf>
    <xf numFmtId="0" fontId="36" fillId="0" borderId="6" xfId="0" applyFont="1" applyBorder="1" applyAlignment="1">
      <alignment horizontal="center" vertical="center"/>
    </xf>
    <xf numFmtId="0" fontId="36" fillId="0" borderId="18" xfId="0" applyFont="1" applyBorder="1" applyAlignment="1">
      <alignment horizontal="center" vertical="center"/>
    </xf>
    <xf numFmtId="0" fontId="37" fillId="0" borderId="0" xfId="0" applyFont="1" applyFill="1" applyBorder="1" applyAlignment="1">
      <alignment vertical="center"/>
    </xf>
    <xf numFmtId="0" fontId="0" fillId="10"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4" borderId="6" xfId="0" applyFont="1" applyFill="1" applyBorder="1" applyAlignment="1" applyProtection="1">
      <alignment horizontal="center" vertical="center"/>
    </xf>
    <xf numFmtId="0" fontId="0" fillId="8" borderId="6" xfId="0" applyFill="1" applyBorder="1" applyAlignment="1">
      <alignment horizontal="center" vertical="center"/>
    </xf>
    <xf numFmtId="0" fontId="37" fillId="0" borderId="0" xfId="0" applyFont="1" applyAlignment="1">
      <alignment horizontal="left"/>
    </xf>
    <xf numFmtId="0" fontId="37" fillId="0" borderId="8" xfId="0" applyFont="1" applyBorder="1" applyAlignment="1">
      <alignment horizontal="left"/>
    </xf>
    <xf numFmtId="0" fontId="43" fillId="0" borderId="0" xfId="0" applyFont="1" applyFill="1" applyBorder="1" applyAlignment="1">
      <alignment horizontal="left" vertical="center"/>
    </xf>
    <xf numFmtId="0" fontId="25" fillId="0" borderId="0" xfId="0" applyFont="1" applyBorder="1" applyAlignment="1" applyProtection="1">
      <alignment horizontal="left" vertical="center"/>
    </xf>
    <xf numFmtId="0" fontId="43" fillId="9" borderId="13" xfId="0" applyFont="1" applyFill="1" applyBorder="1" applyAlignment="1" applyProtection="1">
      <alignment horizontal="left" vertical="center"/>
      <protection locked="0"/>
    </xf>
    <xf numFmtId="0" fontId="43" fillId="9" borderId="19" xfId="0" applyFont="1" applyFill="1" applyBorder="1" applyAlignment="1" applyProtection="1">
      <alignment horizontal="left" vertical="center"/>
      <protection locked="0"/>
    </xf>
    <xf numFmtId="0" fontId="43" fillId="9" borderId="11" xfId="0" applyFont="1" applyFill="1" applyBorder="1" applyAlignment="1" applyProtection="1">
      <alignment horizontal="left" vertical="center"/>
      <protection locked="0"/>
    </xf>
    <xf numFmtId="0" fontId="37" fillId="0" borderId="0" xfId="0" applyFont="1" applyBorder="1" applyAlignment="1">
      <alignment horizontal="right" vertical="center"/>
    </xf>
    <xf numFmtId="0" fontId="37" fillId="0" borderId="5" xfId="0" applyFont="1" applyBorder="1" applyAlignment="1">
      <alignment horizontal="right" vertical="center"/>
    </xf>
    <xf numFmtId="181" fontId="37" fillId="0" borderId="10" xfId="0" applyNumberFormat="1" applyFont="1" applyBorder="1" applyAlignment="1" applyProtection="1">
      <alignment horizontal="right" vertical="center"/>
      <protection hidden="1"/>
    </xf>
    <xf numFmtId="185" fontId="37" fillId="4" borderId="7" xfId="0" applyNumberFormat="1" applyFont="1" applyFill="1" applyBorder="1" applyAlignment="1" applyProtection="1">
      <alignment horizontal="right" vertical="center"/>
      <protection locked="0"/>
    </xf>
    <xf numFmtId="185" fontId="37" fillId="4" borderId="9" xfId="0" applyNumberFormat="1" applyFont="1" applyFill="1" applyBorder="1" applyAlignment="1" applyProtection="1">
      <alignment horizontal="right" vertical="center"/>
      <protection locked="0"/>
    </xf>
    <xf numFmtId="0" fontId="37" fillId="0" borderId="0" xfId="0" applyFont="1" applyFill="1" applyBorder="1" applyAlignment="1">
      <alignment horizontal="right" vertical="center"/>
    </xf>
    <xf numFmtId="0" fontId="0" fillId="0" borderId="27" xfId="0" applyBorder="1" applyAlignment="1">
      <alignment horizontal="center" vertical="center"/>
    </xf>
    <xf numFmtId="0" fontId="0" fillId="0" borderId="28" xfId="0" applyBorder="1" applyAlignment="1">
      <alignment horizontal="center" vertical="center"/>
    </xf>
    <xf numFmtId="0" fontId="25" fillId="0" borderId="13" xfId="0" applyFont="1" applyBorder="1" applyAlignment="1" applyProtection="1">
      <alignment horizontal="center" vertical="center"/>
    </xf>
    <xf numFmtId="0" fontId="25" fillId="0" borderId="19"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6" xfId="0" applyNumberFormat="1" applyFont="1" applyFill="1" applyBorder="1" applyAlignment="1" applyProtection="1">
      <alignment horizontal="left" vertical="center" shrinkToFit="1"/>
    </xf>
    <xf numFmtId="0" fontId="25" fillId="0" borderId="6" xfId="0" applyFont="1" applyBorder="1" applyAlignment="1" applyProtection="1">
      <alignment vertical="center"/>
    </xf>
    <xf numFmtId="0" fontId="25" fillId="0" borderId="0" xfId="0" applyFont="1" applyFill="1" applyBorder="1" applyAlignment="1" applyProtection="1">
      <alignment horizontal="left" vertical="center"/>
    </xf>
    <xf numFmtId="182" fontId="37" fillId="10" borderId="13" xfId="0" applyNumberFormat="1" applyFont="1" applyFill="1" applyBorder="1" applyAlignment="1" applyProtection="1">
      <alignment horizontal="right" vertical="center"/>
      <protection locked="0"/>
    </xf>
    <xf numFmtId="182" fontId="37" fillId="10" borderId="11" xfId="0" applyNumberFormat="1" applyFont="1" applyFill="1" applyBorder="1" applyAlignment="1" applyProtection="1">
      <alignment horizontal="right" vertical="center"/>
      <protection locked="0"/>
    </xf>
    <xf numFmtId="176" fontId="43" fillId="9" borderId="13" xfId="0" applyNumberFormat="1" applyFont="1" applyFill="1" applyBorder="1" applyAlignment="1" applyProtection="1">
      <alignment horizontal="right" vertical="center"/>
      <protection locked="0"/>
    </xf>
    <xf numFmtId="176" fontId="43" fillId="9" borderId="11" xfId="0" applyNumberFormat="1" applyFont="1" applyFill="1" applyBorder="1" applyAlignment="1" applyProtection="1">
      <alignment horizontal="right" vertical="center"/>
      <protection locked="0"/>
    </xf>
    <xf numFmtId="0" fontId="37" fillId="9" borderId="6" xfId="0" applyFont="1" applyFill="1" applyBorder="1" applyAlignment="1" applyProtection="1">
      <alignment horizontal="left" vertical="center"/>
      <protection locked="0"/>
    </xf>
    <xf numFmtId="0" fontId="37" fillId="0" borderId="0" xfId="0" applyFont="1" applyFill="1" applyBorder="1" applyAlignment="1">
      <alignment horizontal="left"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6" xfId="0" applyFont="1" applyBorder="1" applyAlignment="1">
      <alignment horizontal="center" vertical="center" wrapText="1"/>
    </xf>
    <xf numFmtId="0" fontId="37" fillId="0" borderId="6" xfId="0" applyFont="1" applyFill="1" applyBorder="1" applyAlignment="1">
      <alignment horizontal="center" vertical="center"/>
    </xf>
    <xf numFmtId="0" fontId="37" fillId="8" borderId="6" xfId="0" applyFont="1" applyFill="1" applyBorder="1" applyAlignment="1">
      <alignment horizontal="left" vertical="center"/>
    </xf>
    <xf numFmtId="0" fontId="40" fillId="0" borderId="0" xfId="0" applyFont="1" applyBorder="1" applyAlignment="1">
      <alignment horizontal="right" vertical="center"/>
    </xf>
    <xf numFmtId="0" fontId="40" fillId="0" borderId="5" xfId="0" applyFont="1" applyBorder="1" applyAlignment="1">
      <alignment horizontal="right" vertical="center"/>
    </xf>
    <xf numFmtId="181" fontId="37" fillId="0" borderId="6" xfId="0" applyNumberFormat="1" applyFont="1" applyBorder="1" applyAlignment="1" applyProtection="1">
      <alignment horizontal="right" vertical="center"/>
      <protection hidden="1"/>
    </xf>
    <xf numFmtId="0" fontId="40" fillId="0" borderId="6" xfId="0" applyFont="1" applyBorder="1" applyAlignment="1">
      <alignment horizontal="left" vertical="center" wrapText="1"/>
    </xf>
    <xf numFmtId="0" fontId="37" fillId="0" borderId="13" xfId="0" applyFont="1" applyFill="1" applyBorder="1" applyAlignment="1">
      <alignment horizontal="left" vertical="center"/>
    </xf>
    <xf numFmtId="0" fontId="37" fillId="0" borderId="19" xfId="0" applyFont="1" applyFill="1" applyBorder="1" applyAlignment="1">
      <alignment horizontal="left" vertical="center"/>
    </xf>
    <xf numFmtId="0" fontId="37" fillId="0" borderId="11" xfId="0" applyFont="1" applyFill="1" applyBorder="1" applyAlignment="1">
      <alignment horizontal="left" vertical="center"/>
    </xf>
    <xf numFmtId="181" fontId="43" fillId="0" borderId="13" xfId="0" applyNumberFormat="1" applyFont="1" applyFill="1" applyBorder="1" applyAlignment="1" applyProtection="1">
      <alignment horizontal="right" vertical="center"/>
      <protection hidden="1"/>
    </xf>
    <xf numFmtId="181" fontId="43" fillId="0" borderId="11" xfId="0" applyNumberFormat="1" applyFont="1" applyFill="1" applyBorder="1" applyAlignment="1" applyProtection="1">
      <alignment horizontal="right" vertical="center"/>
      <protection hidden="1"/>
    </xf>
    <xf numFmtId="0" fontId="37" fillId="0" borderId="6" xfId="0" applyFont="1" applyFill="1" applyBorder="1" applyAlignment="1">
      <alignment horizontal="left" vertical="center"/>
    </xf>
    <xf numFmtId="0" fontId="37" fillId="0" borderId="22" xfId="0" applyNumberFormat="1" applyFont="1" applyBorder="1" applyAlignment="1">
      <alignment horizontal="center" vertical="center"/>
    </xf>
    <xf numFmtId="0" fontId="37" fillId="0" borderId="20" xfId="0" applyNumberFormat="1" applyFont="1" applyBorder="1" applyAlignment="1">
      <alignment horizontal="center" vertical="center"/>
    </xf>
    <xf numFmtId="0" fontId="37" fillId="0" borderId="13" xfId="0" applyFont="1" applyBorder="1" applyAlignment="1">
      <alignment horizontal="left" vertical="center"/>
    </xf>
    <xf numFmtId="0" fontId="37" fillId="0" borderId="19" xfId="0" applyFont="1" applyBorder="1" applyAlignment="1">
      <alignment horizontal="left" vertical="center"/>
    </xf>
    <xf numFmtId="0" fontId="37" fillId="0" borderId="11" xfId="0" applyFont="1" applyBorder="1" applyAlignment="1">
      <alignment horizontal="left" vertical="center"/>
    </xf>
    <xf numFmtId="0" fontId="37" fillId="11" borderId="6" xfId="0" applyFont="1" applyFill="1" applyBorder="1" applyAlignment="1">
      <alignment horizontal="right" vertical="center"/>
    </xf>
    <xf numFmtId="0" fontId="37" fillId="0" borderId="15" xfId="0" applyFont="1" applyFill="1" applyBorder="1" applyAlignment="1">
      <alignment horizontal="left" vertical="center"/>
    </xf>
    <xf numFmtId="181" fontId="37" fillId="0" borderId="2" xfId="0" applyNumberFormat="1" applyFont="1" applyBorder="1" applyAlignment="1" applyProtection="1">
      <alignment vertical="center"/>
      <protection hidden="1"/>
    </xf>
    <xf numFmtId="181" fontId="37" fillId="0" borderId="4" xfId="0" applyNumberFormat="1" applyFont="1" applyBorder="1" applyAlignment="1" applyProtection="1">
      <alignment vertical="center"/>
      <protection hidden="1"/>
    </xf>
    <xf numFmtId="181" fontId="37" fillId="0" borderId="7" xfId="0" applyNumberFormat="1" applyFont="1" applyBorder="1" applyAlignment="1" applyProtection="1">
      <alignment vertical="center"/>
      <protection hidden="1"/>
    </xf>
    <xf numFmtId="181" fontId="37" fillId="0" borderId="9" xfId="0" applyNumberFormat="1" applyFont="1" applyBorder="1" applyAlignment="1" applyProtection="1">
      <alignment vertical="center"/>
      <protection hidden="1"/>
    </xf>
    <xf numFmtId="181" fontId="43" fillId="0" borderId="6" xfId="0" applyNumberFormat="1" applyFont="1" applyFill="1" applyBorder="1" applyAlignment="1" applyProtection="1">
      <alignment horizontal="right" vertical="center"/>
      <protection hidden="1"/>
    </xf>
    <xf numFmtId="0" fontId="37" fillId="0" borderId="7" xfId="0" applyFont="1" applyFill="1" applyBorder="1" applyAlignment="1">
      <alignment horizontal="left" vertical="center"/>
    </xf>
    <xf numFmtId="0" fontId="37" fillId="0" borderId="8" xfId="0" applyFont="1" applyFill="1" applyBorder="1" applyAlignment="1">
      <alignment horizontal="left" vertical="center"/>
    </xf>
    <xf numFmtId="0" fontId="37" fillId="0" borderId="9" xfId="0" applyFont="1" applyFill="1" applyBorder="1" applyAlignment="1">
      <alignment horizontal="left" vertical="center"/>
    </xf>
    <xf numFmtId="181" fontId="37" fillId="0" borderId="13" xfId="0" applyNumberFormat="1" applyFont="1" applyBorder="1" applyAlignment="1" applyProtection="1">
      <alignment horizontal="right" vertical="center"/>
      <protection hidden="1"/>
    </xf>
    <xf numFmtId="181" fontId="37" fillId="0" borderId="11" xfId="0" applyNumberFormat="1" applyFont="1" applyBorder="1" applyAlignment="1" applyProtection="1">
      <alignment horizontal="right" vertical="center"/>
      <protection hidden="1"/>
    </xf>
    <xf numFmtId="0" fontId="40" fillId="0" borderId="6" xfId="0" applyFont="1" applyBorder="1" applyAlignment="1">
      <alignment horizontal="left" vertical="center"/>
    </xf>
    <xf numFmtId="0" fontId="37" fillId="0" borderId="6" xfId="0" applyFont="1" applyBorder="1" applyAlignment="1">
      <alignment horizontal="left" vertical="center"/>
    </xf>
    <xf numFmtId="181" fontId="37" fillId="0" borderId="2" xfId="0" applyNumberFormat="1" applyFont="1" applyBorder="1" applyAlignment="1" applyProtection="1">
      <alignment horizontal="right" vertical="center"/>
      <protection hidden="1"/>
    </xf>
    <xf numFmtId="181" fontId="37" fillId="0" borderId="4" xfId="0" applyNumberFormat="1" applyFont="1" applyBorder="1" applyAlignment="1" applyProtection="1">
      <alignment horizontal="right" vertical="center"/>
      <protection hidden="1"/>
    </xf>
    <xf numFmtId="181" fontId="37" fillId="0" borderId="7" xfId="0" applyNumberFormat="1" applyFont="1" applyBorder="1" applyAlignment="1" applyProtection="1">
      <alignment horizontal="right" vertical="center"/>
      <protection hidden="1"/>
    </xf>
    <xf numFmtId="181" fontId="37" fillId="0" borderId="9" xfId="0" applyNumberFormat="1" applyFont="1" applyBorder="1" applyAlignment="1" applyProtection="1">
      <alignment horizontal="right" vertical="center"/>
      <protection hidden="1"/>
    </xf>
    <xf numFmtId="0" fontId="43" fillId="0" borderId="11" xfId="0" applyFont="1" applyFill="1" applyBorder="1" applyAlignment="1" applyProtection="1">
      <alignment horizontal="right" vertical="center"/>
      <protection hidden="1"/>
    </xf>
    <xf numFmtId="178" fontId="37" fillId="0" borderId="6" xfId="0" applyNumberFormat="1" applyFont="1" applyFill="1" applyBorder="1" applyAlignment="1">
      <alignment horizontal="center" vertical="center"/>
    </xf>
    <xf numFmtId="0" fontId="37" fillId="0" borderId="7"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181" fontId="37" fillId="0" borderId="6" xfId="0" applyNumberFormat="1" applyFont="1" applyFill="1" applyBorder="1" applyAlignment="1" applyProtection="1">
      <alignment horizontal="right" vertical="center"/>
      <protection hidden="1"/>
    </xf>
    <xf numFmtId="0" fontId="37" fillId="0" borderId="15" xfId="0" applyFont="1" applyBorder="1" applyAlignment="1">
      <alignment horizontal="left" vertical="center"/>
    </xf>
    <xf numFmtId="184" fontId="43" fillId="4" borderId="6" xfId="0" applyNumberFormat="1" applyFont="1" applyFill="1" applyBorder="1" applyAlignment="1" applyProtection="1">
      <alignment horizontal="right" vertical="center"/>
      <protection locked="0"/>
    </xf>
    <xf numFmtId="0" fontId="37" fillId="11" borderId="13" xfId="0" applyFont="1" applyFill="1" applyBorder="1" applyAlignment="1">
      <alignment horizontal="right" vertical="center"/>
    </xf>
    <xf numFmtId="178" fontId="37" fillId="0" borderId="6" xfId="0" applyNumberFormat="1" applyFont="1" applyBorder="1" applyAlignment="1">
      <alignment horizontal="center" vertical="center"/>
    </xf>
    <xf numFmtId="184" fontId="43" fillId="4" borderId="6" xfId="0" applyNumberFormat="1" applyFont="1" applyFill="1" applyBorder="1" applyAlignment="1" applyProtection="1">
      <alignment horizontal="left" vertical="center"/>
      <protection locked="0"/>
    </xf>
    <xf numFmtId="0" fontId="50" fillId="0" borderId="0" xfId="0" applyFont="1" applyBorder="1" applyAlignment="1">
      <alignment horizontal="left" vertical="center"/>
    </xf>
    <xf numFmtId="0" fontId="36" fillId="0" borderId="0" xfId="0" applyFont="1" applyBorder="1" applyAlignment="1">
      <alignment horizontal="left" vertical="center"/>
    </xf>
    <xf numFmtId="181" fontId="48" fillId="0" borderId="0" xfId="0" applyNumberFormat="1" applyFont="1" applyBorder="1" applyAlignment="1" applyProtection="1">
      <alignment horizontal="right" wrapText="1"/>
      <protection hidden="1"/>
    </xf>
    <xf numFmtId="0" fontId="55" fillId="0" borderId="0" xfId="0" applyFont="1" applyBorder="1" applyAlignment="1">
      <alignment horizontal="left" wrapText="1"/>
    </xf>
    <xf numFmtId="0" fontId="54" fillId="0" borderId="0" xfId="0" applyFont="1" applyBorder="1" applyAlignment="1">
      <alignment horizontal="right" wrapText="1"/>
    </xf>
    <xf numFmtId="0" fontId="37" fillId="0" borderId="16" xfId="0" applyFont="1" applyBorder="1" applyAlignment="1">
      <alignment horizontal="left" vertical="center"/>
    </xf>
    <xf numFmtId="0" fontId="37" fillId="0" borderId="17" xfId="0" applyFont="1" applyBorder="1" applyAlignment="1">
      <alignment horizontal="left" vertical="center"/>
    </xf>
    <xf numFmtId="0" fontId="37" fillId="0" borderId="11" xfId="0" applyFont="1" applyBorder="1" applyAlignment="1" applyProtection="1">
      <alignment horizontal="right" vertical="center"/>
      <protection hidden="1"/>
    </xf>
    <xf numFmtId="0" fontId="40" fillId="0" borderId="3"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37" fillId="0" borderId="0" xfId="0" applyFont="1" applyBorder="1" applyAlignment="1">
      <alignment horizontal="center" vertical="center"/>
    </xf>
    <xf numFmtId="0" fontId="37" fillId="0" borderId="5" xfId="0" applyFont="1" applyBorder="1" applyAlignment="1">
      <alignment horizontal="center" vertical="center"/>
    </xf>
    <xf numFmtId="0" fontId="48" fillId="0" borderId="6" xfId="0" applyFont="1" applyBorder="1" applyAlignment="1">
      <alignment horizontal="center" vertical="center"/>
    </xf>
    <xf numFmtId="0" fontId="0" fillId="0" borderId="6" xfId="0" applyBorder="1">
      <alignment vertical="center"/>
    </xf>
    <xf numFmtId="0" fontId="62" fillId="0" borderId="6" xfId="0" applyFont="1" applyBorder="1" applyAlignment="1">
      <alignment horizontal="center" vertical="center"/>
    </xf>
    <xf numFmtId="0" fontId="61" fillId="0" borderId="6" xfId="0" applyFont="1" applyBorder="1" applyAlignment="1" applyProtection="1">
      <alignment horizontal="center" vertical="center"/>
      <protection hidden="1"/>
    </xf>
    <xf numFmtId="0" fontId="37" fillId="0" borderId="22" xfId="0" applyFont="1" applyBorder="1" applyAlignment="1">
      <alignment horizontal="center" vertical="center"/>
    </xf>
    <xf numFmtId="0" fontId="37" fillId="0" borderId="15" xfId="0" applyFont="1" applyBorder="1" applyAlignment="1">
      <alignment horizontal="center"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18" xfId="0" applyFont="1" applyBorder="1" applyAlignment="1">
      <alignment horizontal="center" vertical="center"/>
    </xf>
    <xf numFmtId="0" fontId="37" fillId="0" borderId="3" xfId="0" applyFont="1" applyBorder="1" applyAlignment="1">
      <alignment horizontal="left"/>
    </xf>
    <xf numFmtId="184" fontId="43" fillId="0" borderId="6" xfId="0" applyNumberFormat="1" applyFont="1" applyFill="1" applyBorder="1" applyAlignment="1" applyProtection="1">
      <alignment horizontal="right" vertical="center"/>
      <protection locked="0"/>
    </xf>
    <xf numFmtId="38" fontId="43" fillId="0" borderId="6" xfId="1" applyFont="1" applyFill="1" applyBorder="1" applyAlignment="1" applyProtection="1">
      <alignment horizontal="right" vertical="center"/>
      <protection locked="0"/>
    </xf>
    <xf numFmtId="38" fontId="43" fillId="11" borderId="6" xfId="1" applyFont="1" applyFill="1" applyBorder="1" applyAlignment="1" applyProtection="1">
      <alignment horizontal="right" vertical="center"/>
      <protection locked="0"/>
    </xf>
    <xf numFmtId="38" fontId="43" fillId="0" borderId="13" xfId="1" applyFont="1" applyFill="1" applyBorder="1" applyAlignment="1" applyProtection="1">
      <alignment horizontal="right" vertical="center"/>
      <protection hidden="1"/>
    </xf>
    <xf numFmtId="38" fontId="43" fillId="0" borderId="11" xfId="1" applyFont="1" applyFill="1" applyBorder="1" applyAlignment="1" applyProtection="1">
      <alignment horizontal="right" vertical="center"/>
      <protection hidden="1"/>
    </xf>
    <xf numFmtId="181" fontId="37" fillId="0" borderId="2" xfId="0" applyNumberFormat="1" applyFont="1" applyFill="1" applyBorder="1" applyAlignment="1" applyProtection="1">
      <alignment vertical="center"/>
      <protection hidden="1"/>
    </xf>
    <xf numFmtId="181" fontId="37" fillId="0" borderId="4" xfId="0" applyNumberFormat="1" applyFont="1" applyFill="1" applyBorder="1" applyAlignment="1" applyProtection="1">
      <alignment vertical="center"/>
      <protection hidden="1"/>
    </xf>
    <xf numFmtId="181" fontId="37" fillId="0" borderId="7" xfId="0" applyNumberFormat="1" applyFont="1" applyFill="1" applyBorder="1" applyAlignment="1" applyProtection="1">
      <alignment vertical="center"/>
      <protection hidden="1"/>
    </xf>
    <xf numFmtId="181" fontId="37" fillId="0" borderId="9" xfId="0" applyNumberFormat="1" applyFont="1" applyFill="1" applyBorder="1" applyAlignment="1" applyProtection="1">
      <alignment vertical="center"/>
      <protection hidden="1"/>
    </xf>
    <xf numFmtId="38" fontId="37" fillId="0" borderId="2" xfId="1" applyFont="1" applyFill="1" applyBorder="1" applyAlignment="1" applyProtection="1">
      <alignment vertical="center"/>
      <protection hidden="1"/>
    </xf>
    <xf numFmtId="38" fontId="37" fillId="0" borderId="4" xfId="1" applyFont="1" applyFill="1" applyBorder="1" applyAlignment="1" applyProtection="1">
      <alignment vertical="center"/>
      <protection hidden="1"/>
    </xf>
    <xf numFmtId="38" fontId="37" fillId="0" borderId="7" xfId="1" applyFont="1" applyFill="1" applyBorder="1" applyAlignment="1" applyProtection="1">
      <alignment vertical="center"/>
      <protection hidden="1"/>
    </xf>
    <xf numFmtId="38" fontId="37" fillId="0" borderId="9" xfId="1" applyFont="1" applyFill="1" applyBorder="1" applyAlignment="1" applyProtection="1">
      <alignment vertical="center"/>
      <protection hidden="1"/>
    </xf>
    <xf numFmtId="38" fontId="37" fillId="0" borderId="2" xfId="1" applyFont="1" applyBorder="1" applyAlignment="1" applyProtection="1">
      <alignment vertical="center"/>
      <protection hidden="1"/>
    </xf>
    <xf numFmtId="38" fontId="37" fillId="0" borderId="4" xfId="1" applyFont="1" applyBorder="1" applyAlignment="1" applyProtection="1">
      <alignment vertical="center"/>
      <protection hidden="1"/>
    </xf>
    <xf numFmtId="38" fontId="37" fillId="0" borderId="7" xfId="1" applyFont="1" applyBorder="1" applyAlignment="1" applyProtection="1">
      <alignment vertical="center"/>
      <protection hidden="1"/>
    </xf>
    <xf numFmtId="38" fontId="37" fillId="0" borderId="9" xfId="1" applyFont="1" applyBorder="1" applyAlignment="1" applyProtection="1">
      <alignment vertical="center"/>
      <protection hidden="1"/>
    </xf>
    <xf numFmtId="38" fontId="37" fillId="0" borderId="6" xfId="1" applyFont="1" applyBorder="1" applyAlignment="1" applyProtection="1">
      <alignment horizontal="right" vertical="center"/>
      <protection hidden="1"/>
    </xf>
    <xf numFmtId="38" fontId="37" fillId="0" borderId="2" xfId="1" applyFont="1" applyBorder="1" applyAlignment="1" applyProtection="1">
      <alignment horizontal="right" vertical="center"/>
      <protection hidden="1"/>
    </xf>
    <xf numFmtId="38" fontId="37" fillId="0" borderId="4" xfId="1" applyFont="1" applyBorder="1" applyAlignment="1" applyProtection="1">
      <alignment horizontal="right" vertical="center"/>
      <protection hidden="1"/>
    </xf>
    <xf numFmtId="38" fontId="37" fillId="0" borderId="7" xfId="1" applyFont="1" applyBorder="1" applyAlignment="1" applyProtection="1">
      <alignment horizontal="right" vertical="center"/>
      <protection hidden="1"/>
    </xf>
    <xf numFmtId="38" fontId="37" fillId="0" borderId="9" xfId="1" applyFont="1" applyBorder="1" applyAlignment="1" applyProtection="1">
      <alignment horizontal="right" vertical="center"/>
      <protection hidden="1"/>
    </xf>
    <xf numFmtId="38" fontId="37" fillId="0" borderId="6" xfId="1" applyFont="1" applyFill="1" applyBorder="1" applyAlignment="1" applyProtection="1">
      <alignment horizontal="right" vertical="center"/>
      <protection hidden="1"/>
    </xf>
    <xf numFmtId="0" fontId="37" fillId="0" borderId="6" xfId="0" applyFont="1" applyFill="1" applyBorder="1" applyAlignment="1">
      <alignment horizontal="center" vertical="center" wrapText="1"/>
    </xf>
    <xf numFmtId="38" fontId="37" fillId="0" borderId="13" xfId="1" applyFont="1" applyBorder="1" applyAlignment="1" applyProtection="1">
      <alignment horizontal="right" vertical="center"/>
      <protection hidden="1"/>
    </xf>
    <xf numFmtId="38" fontId="37" fillId="0" borderId="11" xfId="1" applyFont="1" applyBorder="1" applyAlignment="1" applyProtection="1">
      <alignment horizontal="right" vertical="center"/>
      <protection hidden="1"/>
    </xf>
    <xf numFmtId="38" fontId="43" fillId="0" borderId="6" xfId="1" applyFont="1" applyFill="1" applyBorder="1" applyAlignment="1" applyProtection="1">
      <alignment horizontal="right" vertical="center"/>
      <protection hidden="1"/>
    </xf>
    <xf numFmtId="176" fontId="43" fillId="0" borderId="13" xfId="0" applyNumberFormat="1" applyFont="1" applyFill="1" applyBorder="1" applyAlignment="1" applyProtection="1">
      <alignment horizontal="right" vertical="center"/>
      <protection hidden="1"/>
    </xf>
    <xf numFmtId="176" fontId="43" fillId="0" borderId="11" xfId="0" applyNumberFormat="1" applyFont="1" applyFill="1" applyBorder="1" applyAlignment="1" applyProtection="1">
      <alignment horizontal="right" vertical="center"/>
      <protection hidden="1"/>
    </xf>
    <xf numFmtId="184" fontId="43" fillId="11" borderId="6" xfId="0" applyNumberFormat="1" applyFont="1" applyFill="1" applyBorder="1" applyAlignment="1" applyProtection="1">
      <alignment horizontal="right" vertical="center"/>
      <protection locked="0"/>
    </xf>
    <xf numFmtId="0" fontId="37" fillId="11" borderId="2" xfId="0" applyFont="1" applyFill="1" applyBorder="1" applyAlignment="1">
      <alignment horizontal="center" vertical="center"/>
    </xf>
    <xf numFmtId="0" fontId="37" fillId="11" borderId="4" xfId="0" applyFont="1" applyFill="1" applyBorder="1" applyAlignment="1">
      <alignment horizontal="center" vertical="center"/>
    </xf>
    <xf numFmtId="0" fontId="37" fillId="11" borderId="7" xfId="0" applyFont="1" applyFill="1" applyBorder="1" applyAlignment="1">
      <alignment horizontal="center" vertical="center"/>
    </xf>
    <xf numFmtId="0" fontId="37" fillId="11" borderId="9" xfId="0" applyFont="1" applyFill="1" applyBorder="1" applyAlignment="1">
      <alignment horizontal="center" vertical="center"/>
    </xf>
    <xf numFmtId="181" fontId="37" fillId="0" borderId="6" xfId="0" applyNumberFormat="1" applyFont="1" applyFill="1" applyBorder="1" applyAlignment="1">
      <alignment horizontal="right" vertical="center"/>
    </xf>
    <xf numFmtId="184" fontId="43" fillId="11" borderId="6" xfId="0" applyNumberFormat="1" applyFont="1" applyFill="1" applyBorder="1" applyAlignment="1" applyProtection="1">
      <alignment horizontal="left" vertical="center"/>
      <protection locked="0"/>
    </xf>
    <xf numFmtId="181" fontId="0" fillId="0" borderId="13" xfId="0" applyNumberFormat="1" applyFill="1" applyBorder="1" applyAlignment="1">
      <alignment horizontal="right" vertical="center"/>
    </xf>
    <xf numFmtId="0" fontId="0" fillId="0" borderId="11" xfId="0" applyFill="1" applyBorder="1" applyAlignment="1">
      <alignment horizontal="right" vertical="center"/>
    </xf>
    <xf numFmtId="0" fontId="40" fillId="0" borderId="6" xfId="0" applyFont="1" applyFill="1" applyBorder="1" applyAlignment="1">
      <alignment horizontal="center" vertical="center"/>
    </xf>
    <xf numFmtId="38" fontId="0" fillId="0" borderId="13" xfId="1" applyFont="1" applyFill="1" applyBorder="1" applyAlignment="1">
      <alignment horizontal="right" vertical="center"/>
    </xf>
    <xf numFmtId="38" fontId="0" fillId="0" borderId="11" xfId="1" applyFont="1" applyFill="1" applyBorder="1" applyAlignment="1">
      <alignment horizontal="right" vertical="center"/>
    </xf>
  </cellXfs>
  <cellStyles count="6">
    <cellStyle name="パーセント 2" xfId="4"/>
    <cellStyle name="桁区切り" xfId="1" builtinId="6"/>
    <cellStyle name="桁区切り 2" xfId="3"/>
    <cellStyle name="標準" xfId="0" builtinId="0"/>
    <cellStyle name="標準 2" xfId="2"/>
    <cellStyle name="標準 3" xfId="5"/>
  </cellStyles>
  <dxfs count="16">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CC99"/>
        </patternFill>
      </fill>
    </dxf>
    <dxf>
      <fill>
        <patternFill patternType="none">
          <bgColor auto="1"/>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D4F4D4"/>
      <color rgb="FFCCFFCC"/>
      <color rgb="FFFFFF99"/>
      <color rgb="FFFF9966"/>
      <color rgb="FFFF0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1"/>
            <c:invertIfNegative val="0"/>
            <c:bubble3D val="0"/>
            <c:spPr>
              <a:solidFill>
                <a:schemeClr val="accent6">
                  <a:lumMod val="75000"/>
                </a:schemeClr>
              </a:solidFill>
            </c:spPr>
            <c:extLst xmlns:c16r2="http://schemas.microsoft.com/office/drawing/2015/06/chart">
              <c:ext xmlns:c16="http://schemas.microsoft.com/office/drawing/2014/chart" uri="{C3380CC4-5D6E-409C-BE32-E72D297353CC}">
                <c16:uniqueId val="{00000000-76C6-4DE2-B92B-5B5AC5B6566C}"/>
              </c:ext>
            </c:extLst>
          </c:dPt>
          <c:dLbls>
            <c:dLbl>
              <c:idx val="0"/>
              <c:spPr/>
              <c:txPr>
                <a:bodyPr/>
                <a:lstStyle/>
                <a:p>
                  <a:pPr>
                    <a:defRPr sz="1050" b="1"/>
                  </a:pPr>
                  <a:endParaRPr lang="ja-JP"/>
                </a:p>
              </c:txPr>
              <c:showLegendKey val="0"/>
              <c:showVal val="1"/>
              <c:showCatName val="0"/>
              <c:showSerName val="0"/>
              <c:showPercent val="0"/>
              <c:showBubbleSize val="0"/>
            </c:dLbl>
            <c:dLbl>
              <c:idx val="1"/>
              <c:spPr/>
              <c:txPr>
                <a:bodyPr/>
                <a:lstStyle/>
                <a:p>
                  <a:pPr>
                    <a:defRPr sz="1050" b="1"/>
                  </a:pPr>
                  <a:endParaRPr lang="ja-JP"/>
                </a:p>
              </c:txPr>
              <c:showLegendKey val="0"/>
              <c:showVal val="1"/>
              <c:showCatName val="0"/>
              <c:showSerName val="0"/>
              <c:showPercent val="0"/>
              <c:showBubbleSize val="0"/>
            </c:dLbl>
            <c:spPr>
              <a:noFill/>
              <a:ln>
                <a:noFill/>
              </a:ln>
              <a:effectLst/>
            </c:spPr>
            <c:txPr>
              <a:bodyPr/>
              <a:lstStyle/>
              <a:p>
                <a:pPr>
                  <a:defRPr sz="1200" b="1"/>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算定書!$Q$299:$R$299</c:f>
              <c:strCache>
                <c:ptCount val="2"/>
                <c:pt idx="0">
                  <c:v>改修前</c:v>
                </c:pt>
                <c:pt idx="1">
                  <c:v>改修後</c:v>
                </c:pt>
              </c:strCache>
            </c:strRef>
          </c:cat>
          <c:val>
            <c:numRef>
              <c:f>算定書!$Q$300:$R$300</c:f>
              <c:numCache>
                <c:formatCode>#,##0.0_ </c:formatCode>
                <c:ptCount val="2"/>
                <c:pt idx="0" formatCode="0.0_ ">
                  <c:v>0</c:v>
                </c:pt>
                <c:pt idx="1">
                  <c:v>0</c:v>
                </c:pt>
              </c:numCache>
            </c:numRef>
          </c:val>
          <c:extLst xmlns:c16r2="http://schemas.microsoft.com/office/drawing/2015/06/chart">
            <c:ext xmlns:c16="http://schemas.microsoft.com/office/drawing/2014/chart" uri="{C3380CC4-5D6E-409C-BE32-E72D297353CC}">
              <c16:uniqueId val="{00000002-76C6-4DE2-B92B-5B5AC5B6566C}"/>
            </c:ext>
          </c:extLst>
        </c:ser>
        <c:dLbls>
          <c:showLegendKey val="0"/>
          <c:showVal val="0"/>
          <c:showCatName val="0"/>
          <c:showSerName val="0"/>
          <c:showPercent val="0"/>
          <c:showBubbleSize val="0"/>
        </c:dLbls>
        <c:gapWidth val="150"/>
        <c:overlap val="-25"/>
        <c:axId val="44927616"/>
        <c:axId val="44941696"/>
      </c:barChart>
      <c:catAx>
        <c:axId val="44927616"/>
        <c:scaling>
          <c:orientation val="minMax"/>
        </c:scaling>
        <c:delete val="0"/>
        <c:axPos val="b"/>
        <c:numFmt formatCode="General" sourceLinked="1"/>
        <c:majorTickMark val="none"/>
        <c:minorTickMark val="none"/>
        <c:tickLblPos val="nextTo"/>
        <c:txPr>
          <a:bodyPr/>
          <a:lstStyle/>
          <a:p>
            <a:pPr>
              <a:defRPr sz="1050" b="1"/>
            </a:pPr>
            <a:endParaRPr lang="ja-JP"/>
          </a:p>
        </c:txPr>
        <c:crossAx val="44941696"/>
        <c:crosses val="autoZero"/>
        <c:auto val="1"/>
        <c:lblAlgn val="ctr"/>
        <c:lblOffset val="100"/>
        <c:noMultiLvlLbl val="0"/>
      </c:catAx>
      <c:valAx>
        <c:axId val="44941696"/>
        <c:scaling>
          <c:orientation val="minMax"/>
          <c:max val="150"/>
          <c:min val="0"/>
        </c:scaling>
        <c:delete val="1"/>
        <c:axPos val="l"/>
        <c:numFmt formatCode="0.0_ " sourceLinked="1"/>
        <c:majorTickMark val="out"/>
        <c:minorTickMark val="none"/>
        <c:tickLblPos val="none"/>
        <c:crossAx val="44927616"/>
        <c:crosses val="autoZero"/>
        <c:crossBetween val="between"/>
      </c:valAx>
    </c:plotArea>
    <c:plotVisOnly val="1"/>
    <c:dispBlanksAs val="gap"/>
    <c:showDLblsOverMax val="0"/>
  </c:chart>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1"/>
            <c:invertIfNegative val="0"/>
            <c:bubble3D val="0"/>
            <c:spPr>
              <a:solidFill>
                <a:srgbClr val="F79646">
                  <a:lumMod val="75000"/>
                </a:srgbClr>
              </a:solidFill>
            </c:spPr>
            <c:extLst xmlns:c16r2="http://schemas.microsoft.com/office/drawing/2015/06/chart">
              <c:ext xmlns:c16="http://schemas.microsoft.com/office/drawing/2014/chart" uri="{C3380CC4-5D6E-409C-BE32-E72D297353CC}">
                <c16:uniqueId val="{00000000-1494-4177-9B9C-352F50C033E6}"/>
              </c:ext>
            </c:extLst>
          </c:dPt>
          <c:dLbls>
            <c:dLbl>
              <c:idx val="0"/>
              <c:spPr/>
              <c:txPr>
                <a:bodyPr/>
                <a:lstStyle/>
                <a:p>
                  <a:pPr>
                    <a:defRPr sz="1050" b="1"/>
                  </a:pPr>
                  <a:endParaRPr lang="ja-JP"/>
                </a:p>
              </c:txPr>
              <c:showLegendKey val="0"/>
              <c:showVal val="1"/>
              <c:showCatName val="0"/>
              <c:showSerName val="0"/>
              <c:showPercent val="0"/>
              <c:showBubbleSize val="0"/>
            </c:dLbl>
            <c:dLbl>
              <c:idx val="1"/>
              <c:spPr/>
              <c:txPr>
                <a:bodyPr/>
                <a:lstStyle/>
                <a:p>
                  <a:pPr>
                    <a:defRPr sz="1050" b="1"/>
                  </a:pPr>
                  <a:endParaRPr lang="ja-JP"/>
                </a:p>
              </c:txPr>
              <c:showLegendKey val="0"/>
              <c:showVal val="1"/>
              <c:showCatName val="0"/>
              <c:showSerName val="0"/>
              <c:showPercent val="0"/>
              <c:showBubbleSize val="0"/>
            </c:dLbl>
            <c:spPr>
              <a:noFill/>
              <a:ln>
                <a:noFill/>
              </a:ln>
              <a:effectLst/>
            </c:spPr>
            <c:txPr>
              <a:bodyPr/>
              <a:lstStyle/>
              <a:p>
                <a:pPr>
                  <a:defRPr sz="1200" b="1"/>
                </a:pPr>
                <a:endParaRPr lang="ja-JP"/>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算定書!$Q$301:$R$301</c:f>
              <c:strCache>
                <c:ptCount val="2"/>
                <c:pt idx="0">
                  <c:v>改修前</c:v>
                </c:pt>
                <c:pt idx="1">
                  <c:v>改修後</c:v>
                </c:pt>
              </c:strCache>
            </c:strRef>
          </c:cat>
          <c:val>
            <c:numRef>
              <c:f>算定書!$Q$302:$R$302</c:f>
              <c:numCache>
                <c:formatCode>#,##0_);[Red]\(#,##0\)</c:formatCode>
                <c:ptCount val="2"/>
                <c:pt idx="0">
                  <c:v>0</c:v>
                </c:pt>
                <c:pt idx="1">
                  <c:v>0</c:v>
                </c:pt>
              </c:numCache>
            </c:numRef>
          </c:val>
          <c:extLst xmlns:c16r2="http://schemas.microsoft.com/office/drawing/2015/06/chart">
            <c:ext xmlns:c16="http://schemas.microsoft.com/office/drawing/2014/chart" uri="{C3380CC4-5D6E-409C-BE32-E72D297353CC}">
              <c16:uniqueId val="{00000002-1494-4177-9B9C-352F50C033E6}"/>
            </c:ext>
          </c:extLst>
        </c:ser>
        <c:dLbls>
          <c:showLegendKey val="0"/>
          <c:showVal val="0"/>
          <c:showCatName val="0"/>
          <c:showSerName val="0"/>
          <c:showPercent val="0"/>
          <c:showBubbleSize val="0"/>
        </c:dLbls>
        <c:gapWidth val="150"/>
        <c:overlap val="-25"/>
        <c:axId val="99956608"/>
        <c:axId val="99958144"/>
      </c:barChart>
      <c:catAx>
        <c:axId val="99956608"/>
        <c:scaling>
          <c:orientation val="minMax"/>
        </c:scaling>
        <c:delete val="0"/>
        <c:axPos val="b"/>
        <c:numFmt formatCode="General" sourceLinked="1"/>
        <c:majorTickMark val="none"/>
        <c:minorTickMark val="none"/>
        <c:tickLblPos val="nextTo"/>
        <c:txPr>
          <a:bodyPr/>
          <a:lstStyle/>
          <a:p>
            <a:pPr>
              <a:defRPr sz="1050" b="1"/>
            </a:pPr>
            <a:endParaRPr lang="ja-JP"/>
          </a:p>
        </c:txPr>
        <c:crossAx val="99958144"/>
        <c:crosses val="autoZero"/>
        <c:auto val="1"/>
        <c:lblAlgn val="ctr"/>
        <c:lblOffset val="100"/>
        <c:noMultiLvlLbl val="0"/>
      </c:catAx>
      <c:valAx>
        <c:axId val="99958144"/>
        <c:scaling>
          <c:orientation val="minMax"/>
          <c:max val="4000"/>
          <c:min val="0"/>
        </c:scaling>
        <c:delete val="1"/>
        <c:axPos val="l"/>
        <c:numFmt formatCode="#,##0_);[Red]\(#,##0\)" sourceLinked="1"/>
        <c:majorTickMark val="out"/>
        <c:minorTickMark val="none"/>
        <c:tickLblPos val="none"/>
        <c:crossAx val="99956608"/>
        <c:crosses val="autoZero"/>
        <c:crossBetween val="between"/>
      </c:valAx>
    </c:plotArea>
    <c:plotVisOnly val="1"/>
    <c:dispBlanksAs val="gap"/>
    <c:showDLblsOverMax val="0"/>
  </c:chart>
  <c:printSettings>
    <c:headerFooter/>
    <c:pageMargins b="0.75000000000000333" l="0.70000000000000062" r="0.70000000000000062" t="0.75000000000000333" header="0.30000000000000032" footer="0.30000000000000032"/>
    <c:pageSetup paperSize="9" orientation="landscape"/>
  </c:printSettings>
</c:chartSpace>
</file>

<file path=xl/ctrlProps/ctrlProp1.xml><?xml version="1.0" encoding="utf-8"?>
<formControlPr xmlns="http://schemas.microsoft.com/office/spreadsheetml/2009/9/main" objectType="CheckBox" fmlaLink="$AG$4" lockText="1" noThreeD="1"/>
</file>

<file path=xl/ctrlProps/ctrlProp2.xml><?xml version="1.0" encoding="utf-8"?>
<formControlPr xmlns="http://schemas.microsoft.com/office/spreadsheetml/2009/9/main" objectType="CheckBox" checked="Checked" fmlaLink="$AG$5"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jpeg"/><Relationship Id="rId18" Type="http://schemas.openxmlformats.org/officeDocument/2006/relationships/image" Target="../media/image26.jpeg"/><Relationship Id="rId26" Type="http://schemas.openxmlformats.org/officeDocument/2006/relationships/image" Target="../media/image34.jpeg"/><Relationship Id="rId39" Type="http://schemas.openxmlformats.org/officeDocument/2006/relationships/image" Target="../media/image47.jpeg"/><Relationship Id="rId3" Type="http://schemas.openxmlformats.org/officeDocument/2006/relationships/image" Target="../media/image11.jpeg"/><Relationship Id="rId21" Type="http://schemas.openxmlformats.org/officeDocument/2006/relationships/image" Target="../media/image29.jpeg"/><Relationship Id="rId34" Type="http://schemas.openxmlformats.org/officeDocument/2006/relationships/image" Target="../media/image42.jpeg"/><Relationship Id="rId42" Type="http://schemas.openxmlformats.org/officeDocument/2006/relationships/image" Target="../media/image50.jpeg"/><Relationship Id="rId47" Type="http://schemas.openxmlformats.org/officeDocument/2006/relationships/image" Target="../media/image55.jpeg"/><Relationship Id="rId7" Type="http://schemas.openxmlformats.org/officeDocument/2006/relationships/image" Target="../media/image15.jpeg"/><Relationship Id="rId12" Type="http://schemas.openxmlformats.org/officeDocument/2006/relationships/image" Target="../media/image20.jpeg"/><Relationship Id="rId17" Type="http://schemas.openxmlformats.org/officeDocument/2006/relationships/image" Target="../media/image25.jpeg"/><Relationship Id="rId25" Type="http://schemas.openxmlformats.org/officeDocument/2006/relationships/image" Target="../media/image33.jpeg"/><Relationship Id="rId33" Type="http://schemas.openxmlformats.org/officeDocument/2006/relationships/image" Target="../media/image41.jpeg"/><Relationship Id="rId38" Type="http://schemas.openxmlformats.org/officeDocument/2006/relationships/image" Target="../media/image46.jpeg"/><Relationship Id="rId46" Type="http://schemas.openxmlformats.org/officeDocument/2006/relationships/image" Target="../media/image54.png"/><Relationship Id="rId2" Type="http://schemas.openxmlformats.org/officeDocument/2006/relationships/image" Target="../media/image10.jpeg"/><Relationship Id="rId16" Type="http://schemas.openxmlformats.org/officeDocument/2006/relationships/image" Target="../media/image24.jpeg"/><Relationship Id="rId20" Type="http://schemas.openxmlformats.org/officeDocument/2006/relationships/image" Target="../media/image28.jpeg"/><Relationship Id="rId29" Type="http://schemas.openxmlformats.org/officeDocument/2006/relationships/image" Target="../media/image37.jpeg"/><Relationship Id="rId41" Type="http://schemas.openxmlformats.org/officeDocument/2006/relationships/image" Target="../media/image49.jpeg"/><Relationship Id="rId1" Type="http://schemas.openxmlformats.org/officeDocument/2006/relationships/image" Target="../media/image9.png"/><Relationship Id="rId6" Type="http://schemas.openxmlformats.org/officeDocument/2006/relationships/image" Target="../media/image14.jpeg"/><Relationship Id="rId11" Type="http://schemas.openxmlformats.org/officeDocument/2006/relationships/image" Target="../media/image19.jpeg"/><Relationship Id="rId24" Type="http://schemas.openxmlformats.org/officeDocument/2006/relationships/image" Target="../media/image32.jpeg"/><Relationship Id="rId32" Type="http://schemas.openxmlformats.org/officeDocument/2006/relationships/image" Target="../media/image40.jpeg"/><Relationship Id="rId37" Type="http://schemas.openxmlformats.org/officeDocument/2006/relationships/image" Target="../media/image45.jpeg"/><Relationship Id="rId40" Type="http://schemas.openxmlformats.org/officeDocument/2006/relationships/image" Target="../media/image48.jpeg"/><Relationship Id="rId45" Type="http://schemas.openxmlformats.org/officeDocument/2006/relationships/image" Target="../media/image53.jpeg"/><Relationship Id="rId5" Type="http://schemas.openxmlformats.org/officeDocument/2006/relationships/image" Target="../media/image13.jpeg"/><Relationship Id="rId15" Type="http://schemas.openxmlformats.org/officeDocument/2006/relationships/image" Target="../media/image23.jpeg"/><Relationship Id="rId23" Type="http://schemas.openxmlformats.org/officeDocument/2006/relationships/image" Target="../media/image31.jpeg"/><Relationship Id="rId28" Type="http://schemas.openxmlformats.org/officeDocument/2006/relationships/image" Target="../media/image36.jpeg"/><Relationship Id="rId36" Type="http://schemas.openxmlformats.org/officeDocument/2006/relationships/image" Target="../media/image44.jpeg"/><Relationship Id="rId10" Type="http://schemas.openxmlformats.org/officeDocument/2006/relationships/image" Target="../media/image18.jpeg"/><Relationship Id="rId19" Type="http://schemas.openxmlformats.org/officeDocument/2006/relationships/image" Target="../media/image27.jpeg"/><Relationship Id="rId31" Type="http://schemas.openxmlformats.org/officeDocument/2006/relationships/image" Target="../media/image39.jpeg"/><Relationship Id="rId44" Type="http://schemas.openxmlformats.org/officeDocument/2006/relationships/image" Target="../media/image52.jpeg"/><Relationship Id="rId4" Type="http://schemas.openxmlformats.org/officeDocument/2006/relationships/image" Target="../media/image12.jpeg"/><Relationship Id="rId9" Type="http://schemas.openxmlformats.org/officeDocument/2006/relationships/image" Target="../media/image17.jpeg"/><Relationship Id="rId14" Type="http://schemas.openxmlformats.org/officeDocument/2006/relationships/image" Target="../media/image22.jpeg"/><Relationship Id="rId22" Type="http://schemas.openxmlformats.org/officeDocument/2006/relationships/image" Target="../media/image30.jpeg"/><Relationship Id="rId27" Type="http://schemas.openxmlformats.org/officeDocument/2006/relationships/image" Target="../media/image35.jpeg"/><Relationship Id="rId30" Type="http://schemas.openxmlformats.org/officeDocument/2006/relationships/image" Target="../media/image38.jpeg"/><Relationship Id="rId35" Type="http://schemas.openxmlformats.org/officeDocument/2006/relationships/image" Target="../media/image43.jpeg"/><Relationship Id="rId43" Type="http://schemas.openxmlformats.org/officeDocument/2006/relationships/image" Target="../media/image51.jpeg"/><Relationship Id="rId48" Type="http://schemas.openxmlformats.org/officeDocument/2006/relationships/image" Target="../media/image56.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xdr:from>
      <xdr:col>0</xdr:col>
      <xdr:colOff>17899</xdr:colOff>
      <xdr:row>42</xdr:row>
      <xdr:rowOff>33697</xdr:rowOff>
    </xdr:from>
    <xdr:to>
      <xdr:col>18</xdr:col>
      <xdr:colOff>649061</xdr:colOff>
      <xdr:row>43</xdr:row>
      <xdr:rowOff>73268</xdr:rowOff>
    </xdr:to>
    <xdr:sp macro="" textlink="">
      <xdr:nvSpPr>
        <xdr:cNvPr id="2" name="正方形/長方形 1"/>
        <xdr:cNvSpPr/>
      </xdr:nvSpPr>
      <xdr:spPr>
        <a:xfrm flipV="1">
          <a:off x="17899" y="11436483"/>
          <a:ext cx="7285055" cy="189249"/>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0</xdr:col>
      <xdr:colOff>19896</xdr:colOff>
      <xdr:row>15</xdr:row>
      <xdr:rowOff>34193</xdr:rowOff>
    </xdr:from>
    <xdr:to>
      <xdr:col>9</xdr:col>
      <xdr:colOff>115665</xdr:colOff>
      <xdr:row>16</xdr:row>
      <xdr:rowOff>42389</xdr:rowOff>
    </xdr:to>
    <xdr:sp macro="" textlink="">
      <xdr:nvSpPr>
        <xdr:cNvPr id="3" name="正方形/長方形 2"/>
        <xdr:cNvSpPr/>
      </xdr:nvSpPr>
      <xdr:spPr>
        <a:xfrm>
          <a:off x="19896" y="3196493"/>
          <a:ext cx="4239144"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76092</xdr:colOff>
      <xdr:row>15</xdr:row>
      <xdr:rowOff>34750</xdr:rowOff>
    </xdr:from>
    <xdr:to>
      <xdr:col>19</xdr:col>
      <xdr:colOff>0</xdr:colOff>
      <xdr:row>16</xdr:row>
      <xdr:rowOff>42946</xdr:rowOff>
    </xdr:to>
    <xdr:sp macro="" textlink="">
      <xdr:nvSpPr>
        <xdr:cNvPr id="11" name="正方形/長方形 10"/>
        <xdr:cNvSpPr/>
      </xdr:nvSpPr>
      <xdr:spPr>
        <a:xfrm>
          <a:off x="4343292" y="3197050"/>
          <a:ext cx="2943333"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86309</xdr:colOff>
      <xdr:row>5</xdr:row>
      <xdr:rowOff>28025</xdr:rowOff>
    </xdr:from>
    <xdr:to>
      <xdr:col>19</xdr:col>
      <xdr:colOff>0</xdr:colOff>
      <xdr:row>6</xdr:row>
      <xdr:rowOff>36222</xdr:rowOff>
    </xdr:to>
    <xdr:sp macro="" textlink="">
      <xdr:nvSpPr>
        <xdr:cNvPr id="13" name="正方形/長方形 12"/>
        <xdr:cNvSpPr/>
      </xdr:nvSpPr>
      <xdr:spPr>
        <a:xfrm>
          <a:off x="4353509" y="904325"/>
          <a:ext cx="2933116" cy="322522"/>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4</xdr:row>
      <xdr:rowOff>31547</xdr:rowOff>
    </xdr:from>
    <xdr:to>
      <xdr:col>14</xdr:col>
      <xdr:colOff>278720</xdr:colOff>
      <xdr:row>6</xdr:row>
      <xdr:rowOff>8283</xdr:rowOff>
    </xdr:to>
    <xdr:sp macro="" textlink="">
      <xdr:nvSpPr>
        <xdr:cNvPr id="14" name="テキスト ボックス 132"/>
        <xdr:cNvSpPr txBox="1"/>
      </xdr:nvSpPr>
      <xdr:spPr>
        <a:xfrm>
          <a:off x="4351021" y="1224243"/>
          <a:ext cx="1104329" cy="349453"/>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0</xdr:col>
      <xdr:colOff>19896</xdr:colOff>
      <xdr:row>5</xdr:row>
      <xdr:rowOff>28025</xdr:rowOff>
    </xdr:from>
    <xdr:to>
      <xdr:col>10</xdr:col>
      <xdr:colOff>4243</xdr:colOff>
      <xdr:row>6</xdr:row>
      <xdr:rowOff>36222</xdr:rowOff>
    </xdr:to>
    <xdr:sp macro="" textlink="">
      <xdr:nvSpPr>
        <xdr:cNvPr id="23" name="正方形/長方形 22"/>
        <xdr:cNvSpPr/>
      </xdr:nvSpPr>
      <xdr:spPr>
        <a:xfrm>
          <a:off x="19896" y="904325"/>
          <a:ext cx="4251547" cy="322522"/>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4</xdr:row>
      <xdr:rowOff>35842</xdr:rowOff>
    </xdr:from>
    <xdr:to>
      <xdr:col>2</xdr:col>
      <xdr:colOff>295060</xdr:colOff>
      <xdr:row>6</xdr:row>
      <xdr:rowOff>49695</xdr:rowOff>
    </xdr:to>
    <xdr:sp macro="" textlink="">
      <xdr:nvSpPr>
        <xdr:cNvPr id="24" name="テキスト ボックス 322"/>
        <xdr:cNvSpPr txBox="1"/>
      </xdr:nvSpPr>
      <xdr:spPr>
        <a:xfrm>
          <a:off x="0" y="1228538"/>
          <a:ext cx="1926734" cy="38657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13607</xdr:colOff>
      <xdr:row>0</xdr:row>
      <xdr:rowOff>139321</xdr:rowOff>
    </xdr:from>
    <xdr:to>
      <xdr:col>19</xdr:col>
      <xdr:colOff>27214</xdr:colOff>
      <xdr:row>2</xdr:row>
      <xdr:rowOff>40283</xdr:rowOff>
    </xdr:to>
    <xdr:grpSp>
      <xdr:nvGrpSpPr>
        <xdr:cNvPr id="4" name="グループ化 3"/>
        <xdr:cNvGrpSpPr/>
      </xdr:nvGrpSpPr>
      <xdr:grpSpPr>
        <a:xfrm>
          <a:off x="13607" y="139321"/>
          <a:ext cx="7308636" cy="718991"/>
          <a:chOff x="13607" y="139321"/>
          <a:chExt cx="7290707" cy="720112"/>
        </a:xfrm>
      </xdr:grpSpPr>
      <xdr:sp macro="" textlink="">
        <xdr:nvSpPr>
          <xdr:cNvPr id="10" name="正方形/長方形 9"/>
          <xdr:cNvSpPr/>
        </xdr:nvSpPr>
        <xdr:spPr>
          <a:xfrm>
            <a:off x="29840" y="159732"/>
            <a:ext cx="7274474" cy="678362"/>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27" name="テキスト ボックス 445"/>
          <xdr:cNvSpPr txBox="1"/>
        </xdr:nvSpPr>
        <xdr:spPr>
          <a:xfrm>
            <a:off x="13607" y="139321"/>
            <a:ext cx="7263493" cy="720112"/>
          </a:xfrm>
          <a:prstGeom prst="rect">
            <a:avLst/>
          </a:prstGeom>
          <a:noFill/>
        </xdr:spPr>
        <xdr:txBody>
          <a:bodyPr wrap="square" tIns="10800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400" b="1">
                <a:solidFill>
                  <a:schemeClr val="bg1"/>
                </a:solidFill>
                <a:latin typeface="メイリオ" pitchFamily="50" charset="-128"/>
                <a:ea typeface="メイリオ" pitchFamily="50" charset="-128"/>
                <a:cs typeface="メイリオ" pitchFamily="50" charset="-128"/>
              </a:rPr>
              <a:t>省エネ改修効果診断書（テナント専用部）</a:t>
            </a:r>
          </a:p>
        </xdr:txBody>
      </xdr:sp>
    </xdr:grpSp>
    <xdr:clientData/>
  </xdr:twoCellAnchor>
  <xdr:twoCellAnchor>
    <xdr:from>
      <xdr:col>11</xdr:col>
      <xdr:colOff>77564</xdr:colOff>
      <xdr:row>7</xdr:row>
      <xdr:rowOff>8843</xdr:rowOff>
    </xdr:from>
    <xdr:to>
      <xdr:col>15</xdr:col>
      <xdr:colOff>244710</xdr:colOff>
      <xdr:row>12</xdr:row>
      <xdr:rowOff>197843</xdr:rowOff>
    </xdr:to>
    <xdr:grpSp>
      <xdr:nvGrpSpPr>
        <xdr:cNvPr id="35" name="グループ化 34"/>
        <xdr:cNvGrpSpPr/>
      </xdr:nvGrpSpPr>
      <xdr:grpSpPr>
        <a:xfrm>
          <a:off x="4436652" y="1712137"/>
          <a:ext cx="1321352" cy="1309588"/>
          <a:chOff x="328402" y="476640"/>
          <a:chExt cx="1296144" cy="1296144"/>
        </a:xfrm>
      </xdr:grpSpPr>
      <xdr:sp macro="" textlink="">
        <xdr:nvSpPr>
          <xdr:cNvPr id="36" name="角丸四角形 35"/>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37" name="グループ化 36"/>
          <xdr:cNvGrpSpPr/>
        </xdr:nvGrpSpPr>
        <xdr:grpSpPr>
          <a:xfrm>
            <a:off x="842964" y="671512"/>
            <a:ext cx="545307" cy="641538"/>
            <a:chOff x="3162860" y="6191931"/>
            <a:chExt cx="396350" cy="466295"/>
          </a:xfrm>
        </xdr:grpSpPr>
        <xdr:sp macro="" textlink="">
          <xdr:nvSpPr>
            <xdr:cNvPr id="38" name="台形 37"/>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39" name="台形 38"/>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40" name="直線コネクタ 39"/>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 name="直線コネクタ 41"/>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47" name="グループ化 46"/>
            <xdr:cNvGrpSpPr/>
          </xdr:nvGrpSpPr>
          <xdr:grpSpPr>
            <a:xfrm rot="5400000">
              <a:off x="3220358" y="6373338"/>
              <a:ext cx="274658" cy="295117"/>
              <a:chOff x="1100474" y="8541778"/>
              <a:chExt cx="354609" cy="381026"/>
            </a:xfrm>
          </xdr:grpSpPr>
          <xdr:cxnSp macro="">
            <xdr:nvCxnSpPr>
              <xdr:cNvPr id="48" name="曲線コネクタ 47"/>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49" name="曲線コネクタ 48"/>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50" name="曲線コネクタ 49"/>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7</xdr:row>
      <xdr:rowOff>8843</xdr:rowOff>
    </xdr:from>
    <xdr:to>
      <xdr:col>18</xdr:col>
      <xdr:colOff>610062</xdr:colOff>
      <xdr:row>12</xdr:row>
      <xdr:rowOff>197843</xdr:rowOff>
    </xdr:to>
    <xdr:sp macro="" textlink="">
      <xdr:nvSpPr>
        <xdr:cNvPr id="51" name="角丸四角形 50"/>
        <xdr:cNvSpPr/>
      </xdr:nvSpPr>
      <xdr:spPr>
        <a:xfrm>
          <a:off x="5930048" y="1342343"/>
          <a:ext cx="1318939" cy="1332000"/>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0</xdr:col>
      <xdr:colOff>86088</xdr:colOff>
      <xdr:row>32</xdr:row>
      <xdr:rowOff>141316</xdr:rowOff>
    </xdr:from>
    <xdr:to>
      <xdr:col>0</xdr:col>
      <xdr:colOff>86088</xdr:colOff>
      <xdr:row>32</xdr:row>
      <xdr:rowOff>141316</xdr:rowOff>
    </xdr:to>
    <xdr:cxnSp macro="">
      <xdr:nvCxnSpPr>
        <xdr:cNvPr id="69" name="直線コネクタ 68"/>
        <xdr:cNvCxnSpPr/>
      </xdr:nvCxnSpPr>
      <xdr:spPr>
        <a:xfrm>
          <a:off x="86088" y="9075766"/>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70121</xdr:colOff>
      <xdr:row>41</xdr:row>
      <xdr:rowOff>127099</xdr:rowOff>
    </xdr:from>
    <xdr:to>
      <xdr:col>19</xdr:col>
      <xdr:colOff>57150</xdr:colOff>
      <xdr:row>44</xdr:row>
      <xdr:rowOff>42235</xdr:rowOff>
    </xdr:to>
    <xdr:sp macro="" textlink="">
      <xdr:nvSpPr>
        <xdr:cNvPr id="96" name="テキスト ボックス 255"/>
        <xdr:cNvSpPr txBox="1"/>
      </xdr:nvSpPr>
      <xdr:spPr>
        <a:xfrm>
          <a:off x="5232671" y="11233249"/>
          <a:ext cx="2101579" cy="391386"/>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650" b="1">
              <a:solidFill>
                <a:schemeClr val="bg1"/>
              </a:solidFill>
              <a:latin typeface="メイリオ" pitchFamily="50" charset="-128"/>
              <a:ea typeface="メイリオ" pitchFamily="50" charset="-128"/>
              <a:cs typeface="メイリオ" pitchFamily="50" charset="-128"/>
            </a:rPr>
            <a:t>TOKYO METROPOLITAN GOVERNMENT          </a:t>
          </a:r>
          <a:endParaRPr kumimoji="1" lang="ja-JP" altLang="en-US" sz="650" b="1">
            <a:solidFill>
              <a:schemeClr val="bg1"/>
            </a:solidFill>
            <a:latin typeface="メイリオ" pitchFamily="50" charset="-128"/>
            <a:ea typeface="メイリオ" pitchFamily="50" charset="-128"/>
            <a:cs typeface="メイリオ" pitchFamily="50" charset="-128"/>
          </a:endParaRPr>
        </a:p>
      </xdr:txBody>
    </xdr:sp>
    <xdr:clientData/>
  </xdr:twoCellAnchor>
  <xdr:twoCellAnchor>
    <xdr:from>
      <xdr:col>18</xdr:col>
      <xdr:colOff>190500</xdr:colOff>
      <xdr:row>43</xdr:row>
      <xdr:rowOff>30277</xdr:rowOff>
    </xdr:from>
    <xdr:to>
      <xdr:col>19</xdr:col>
      <xdr:colOff>138546</xdr:colOff>
      <xdr:row>44</xdr:row>
      <xdr:rowOff>103909</xdr:rowOff>
    </xdr:to>
    <xdr:sp macro="" textlink="">
      <xdr:nvSpPr>
        <xdr:cNvPr id="127" name="テキスト ボックス 505"/>
        <xdr:cNvSpPr txBox="1"/>
      </xdr:nvSpPr>
      <xdr:spPr>
        <a:xfrm>
          <a:off x="6823364" y="11235141"/>
          <a:ext cx="588818" cy="26413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600">
              <a:latin typeface="HG丸ｺﾞｼｯｸM-PRO" pitchFamily="50" charset="-128"/>
              <a:ea typeface="HG丸ｺﾞｼｯｸM-PRO" pitchFamily="50" charset="-128"/>
            </a:rPr>
            <a:t>ver.1.0</a:t>
          </a:r>
          <a:endParaRPr lang="ja-JP" altLang="en-US" sz="600">
            <a:latin typeface="HG丸ｺﾞｼｯｸM-PRO" pitchFamily="50" charset="-128"/>
            <a:ea typeface="HG丸ｺﾞｼｯｸM-PRO" pitchFamily="50" charset="-128"/>
          </a:endParaRPr>
        </a:p>
      </xdr:txBody>
    </xdr:sp>
    <xdr:clientData/>
  </xdr:twoCellAnchor>
  <xdr:twoCellAnchor>
    <xdr:from>
      <xdr:col>0</xdr:col>
      <xdr:colOff>0</xdr:colOff>
      <xdr:row>2</xdr:row>
      <xdr:rowOff>14308</xdr:rowOff>
    </xdr:from>
    <xdr:to>
      <xdr:col>0</xdr:col>
      <xdr:colOff>974035</xdr:colOff>
      <xdr:row>4</xdr:row>
      <xdr:rowOff>28160</xdr:rowOff>
    </xdr:to>
    <xdr:sp macro="" textlink="">
      <xdr:nvSpPr>
        <xdr:cNvPr id="128" name="テキスト ボックス 322"/>
        <xdr:cNvSpPr txBox="1"/>
      </xdr:nvSpPr>
      <xdr:spPr>
        <a:xfrm>
          <a:off x="0" y="834286"/>
          <a:ext cx="974035" cy="38657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評価対象</a:t>
          </a:r>
        </a:p>
      </xdr:txBody>
    </xdr:sp>
    <xdr:clientData/>
  </xdr:twoCellAnchor>
  <xdr:twoCellAnchor>
    <xdr:from>
      <xdr:col>10</xdr:col>
      <xdr:colOff>77195</xdr:colOff>
      <xdr:row>14</xdr:row>
      <xdr:rowOff>199636</xdr:rowOff>
    </xdr:from>
    <xdr:to>
      <xdr:col>14</xdr:col>
      <xdr:colOff>278720</xdr:colOff>
      <xdr:row>16</xdr:row>
      <xdr:rowOff>8284</xdr:rowOff>
    </xdr:to>
    <xdr:sp macro="" textlink="">
      <xdr:nvSpPr>
        <xdr:cNvPr id="61" name="テキスト ボックス 132"/>
        <xdr:cNvSpPr txBox="1"/>
      </xdr:nvSpPr>
      <xdr:spPr>
        <a:xfrm>
          <a:off x="4346636" y="3471754"/>
          <a:ext cx="1109202" cy="34653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0</xdr:col>
      <xdr:colOff>0</xdr:colOff>
      <xdr:row>14</xdr:row>
      <xdr:rowOff>203931</xdr:rowOff>
    </xdr:from>
    <xdr:to>
      <xdr:col>2</xdr:col>
      <xdr:colOff>295060</xdr:colOff>
      <xdr:row>16</xdr:row>
      <xdr:rowOff>49696</xdr:rowOff>
    </xdr:to>
    <xdr:sp macro="" textlink="">
      <xdr:nvSpPr>
        <xdr:cNvPr id="62" name="テキスト ボックス 322"/>
        <xdr:cNvSpPr txBox="1"/>
      </xdr:nvSpPr>
      <xdr:spPr>
        <a:xfrm>
          <a:off x="0" y="3476049"/>
          <a:ext cx="1830266" cy="383647"/>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11</xdr:col>
      <xdr:colOff>77564</xdr:colOff>
      <xdr:row>17</xdr:row>
      <xdr:rowOff>8843</xdr:rowOff>
    </xdr:from>
    <xdr:to>
      <xdr:col>15</xdr:col>
      <xdr:colOff>244710</xdr:colOff>
      <xdr:row>19</xdr:row>
      <xdr:rowOff>399548</xdr:rowOff>
    </xdr:to>
    <xdr:grpSp>
      <xdr:nvGrpSpPr>
        <xdr:cNvPr id="63" name="グループ化 62"/>
        <xdr:cNvGrpSpPr/>
      </xdr:nvGrpSpPr>
      <xdr:grpSpPr>
        <a:xfrm>
          <a:off x="4436652" y="3964519"/>
          <a:ext cx="1321352" cy="1309588"/>
          <a:chOff x="328402" y="476640"/>
          <a:chExt cx="1296144" cy="1296144"/>
        </a:xfrm>
      </xdr:grpSpPr>
      <xdr:sp macro="" textlink="">
        <xdr:nvSpPr>
          <xdr:cNvPr id="64" name="角丸四角形 63"/>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65" name="グループ化 64"/>
          <xdr:cNvGrpSpPr/>
        </xdr:nvGrpSpPr>
        <xdr:grpSpPr>
          <a:xfrm>
            <a:off x="842964" y="671512"/>
            <a:ext cx="545307" cy="641538"/>
            <a:chOff x="3162860" y="6191931"/>
            <a:chExt cx="396350" cy="466295"/>
          </a:xfrm>
        </xdr:grpSpPr>
        <xdr:sp macro="" textlink="">
          <xdr:nvSpPr>
            <xdr:cNvPr id="66" name="台形 65"/>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67" name="台形 66"/>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68" name="直線コネクタ 67"/>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0" name="直線コネクタ 69"/>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コネクタ 70"/>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3" name="直線コネクタ 72"/>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75" name="直線コネクタ 74"/>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76" name="グループ化 75"/>
            <xdr:cNvGrpSpPr/>
          </xdr:nvGrpSpPr>
          <xdr:grpSpPr>
            <a:xfrm rot="5400000">
              <a:off x="3220358" y="6373338"/>
              <a:ext cx="274658" cy="295117"/>
              <a:chOff x="1100474" y="8541778"/>
              <a:chExt cx="354609" cy="381026"/>
            </a:xfrm>
          </xdr:grpSpPr>
          <xdr:cxnSp macro="">
            <xdr:nvCxnSpPr>
              <xdr:cNvPr id="77" name="曲線コネクタ 76"/>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78" name="曲線コネクタ 77"/>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79" name="曲線コネクタ 78"/>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16</xdr:row>
      <xdr:rowOff>143313</xdr:rowOff>
    </xdr:from>
    <xdr:to>
      <xdr:col>18</xdr:col>
      <xdr:colOff>610062</xdr:colOff>
      <xdr:row>19</xdr:row>
      <xdr:rowOff>388342</xdr:rowOff>
    </xdr:to>
    <xdr:sp macro="" textlink="">
      <xdr:nvSpPr>
        <xdr:cNvPr id="82" name="角丸四角形 81"/>
        <xdr:cNvSpPr/>
      </xdr:nvSpPr>
      <xdr:spPr>
        <a:xfrm>
          <a:off x="5940694" y="3953313"/>
          <a:ext cx="1314456" cy="1309588"/>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7</xdr:row>
      <xdr:rowOff>205799</xdr:rowOff>
    </xdr:from>
    <xdr:to>
      <xdr:col>18</xdr:col>
      <xdr:colOff>498381</xdr:colOff>
      <xdr:row>10</xdr:row>
      <xdr:rowOff>25813</xdr:rowOff>
    </xdr:to>
    <xdr:grpSp>
      <xdr:nvGrpSpPr>
        <xdr:cNvPr id="88" name="グループ化 87"/>
        <xdr:cNvGrpSpPr/>
      </xdr:nvGrpSpPr>
      <xdr:grpSpPr>
        <a:xfrm>
          <a:off x="6404278" y="1909093"/>
          <a:ext cx="739191" cy="492367"/>
          <a:chOff x="15865410" y="6040532"/>
          <a:chExt cx="531149" cy="361912"/>
        </a:xfrm>
      </xdr:grpSpPr>
      <xdr:sp macro="" textlink="">
        <xdr:nvSpPr>
          <xdr:cNvPr id="89" name="台形 88"/>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90" name="台形 89"/>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91" name="台形 90"/>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92" name="台形 91"/>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93" name="直線コネクタ 92"/>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94" name="直線矢印コネクタ 93"/>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128984</xdr:colOff>
      <xdr:row>17</xdr:row>
      <xdr:rowOff>194593</xdr:rowOff>
    </xdr:from>
    <xdr:to>
      <xdr:col>18</xdr:col>
      <xdr:colOff>498381</xdr:colOff>
      <xdr:row>18</xdr:row>
      <xdr:rowOff>227518</xdr:rowOff>
    </xdr:to>
    <xdr:grpSp>
      <xdr:nvGrpSpPr>
        <xdr:cNvPr id="83" name="グループ化 82"/>
        <xdr:cNvGrpSpPr/>
      </xdr:nvGrpSpPr>
      <xdr:grpSpPr>
        <a:xfrm>
          <a:off x="6404278" y="4150269"/>
          <a:ext cx="739191" cy="492367"/>
          <a:chOff x="15865410" y="6040532"/>
          <a:chExt cx="531149" cy="361912"/>
        </a:xfrm>
      </xdr:grpSpPr>
      <xdr:sp macro="" textlink="">
        <xdr:nvSpPr>
          <xdr:cNvPr id="84" name="台形 83"/>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5" name="台形 84"/>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6" name="台形 85"/>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7" name="台形 86"/>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98" name="直線コネクタ 97"/>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99" name="直線矢印コネクタ 98"/>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0" name="直線コネクタ 99"/>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19896</xdr:colOff>
      <xdr:row>22</xdr:row>
      <xdr:rowOff>45399</xdr:rowOff>
    </xdr:from>
    <xdr:to>
      <xdr:col>9</xdr:col>
      <xdr:colOff>115665</xdr:colOff>
      <xdr:row>23</xdr:row>
      <xdr:rowOff>53595</xdr:rowOff>
    </xdr:to>
    <xdr:sp macro="" textlink="">
      <xdr:nvSpPr>
        <xdr:cNvPr id="109" name="正方形/長方形 108"/>
        <xdr:cNvSpPr/>
      </xdr:nvSpPr>
      <xdr:spPr>
        <a:xfrm>
          <a:off x="19896" y="5827634"/>
          <a:ext cx="4241945" cy="32196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76092</xdr:colOff>
      <xdr:row>22</xdr:row>
      <xdr:rowOff>45956</xdr:rowOff>
    </xdr:from>
    <xdr:to>
      <xdr:col>19</xdr:col>
      <xdr:colOff>0</xdr:colOff>
      <xdr:row>23</xdr:row>
      <xdr:rowOff>54152</xdr:rowOff>
    </xdr:to>
    <xdr:sp macro="" textlink="">
      <xdr:nvSpPr>
        <xdr:cNvPr id="113" name="正方形/長方形 112"/>
        <xdr:cNvSpPr/>
      </xdr:nvSpPr>
      <xdr:spPr>
        <a:xfrm>
          <a:off x="4345533" y="5828191"/>
          <a:ext cx="2949496" cy="32196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21</xdr:row>
      <xdr:rowOff>210842</xdr:rowOff>
    </xdr:from>
    <xdr:to>
      <xdr:col>14</xdr:col>
      <xdr:colOff>278720</xdr:colOff>
      <xdr:row>23</xdr:row>
      <xdr:rowOff>19490</xdr:rowOff>
    </xdr:to>
    <xdr:sp macro="" textlink="">
      <xdr:nvSpPr>
        <xdr:cNvPr id="114" name="テキスト ボックス 132"/>
        <xdr:cNvSpPr txBox="1"/>
      </xdr:nvSpPr>
      <xdr:spPr>
        <a:xfrm>
          <a:off x="4346636" y="5768960"/>
          <a:ext cx="1109202" cy="34653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0</xdr:col>
      <xdr:colOff>0</xdr:colOff>
      <xdr:row>21</xdr:row>
      <xdr:rowOff>215137</xdr:rowOff>
    </xdr:from>
    <xdr:to>
      <xdr:col>2</xdr:col>
      <xdr:colOff>295060</xdr:colOff>
      <xdr:row>23</xdr:row>
      <xdr:rowOff>60902</xdr:rowOff>
    </xdr:to>
    <xdr:sp macro="" textlink="">
      <xdr:nvSpPr>
        <xdr:cNvPr id="115" name="テキスト ボックス 322"/>
        <xdr:cNvSpPr txBox="1"/>
      </xdr:nvSpPr>
      <xdr:spPr>
        <a:xfrm>
          <a:off x="0" y="5773255"/>
          <a:ext cx="1830266" cy="383647"/>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11</xdr:col>
      <xdr:colOff>77564</xdr:colOff>
      <xdr:row>23</xdr:row>
      <xdr:rowOff>143314</xdr:rowOff>
    </xdr:from>
    <xdr:to>
      <xdr:col>15</xdr:col>
      <xdr:colOff>244710</xdr:colOff>
      <xdr:row>26</xdr:row>
      <xdr:rowOff>388343</xdr:rowOff>
    </xdr:to>
    <xdr:grpSp>
      <xdr:nvGrpSpPr>
        <xdr:cNvPr id="116" name="グループ化 115"/>
        <xdr:cNvGrpSpPr/>
      </xdr:nvGrpSpPr>
      <xdr:grpSpPr>
        <a:xfrm>
          <a:off x="4436652" y="6239314"/>
          <a:ext cx="1321352" cy="1309588"/>
          <a:chOff x="328402" y="476640"/>
          <a:chExt cx="1296144" cy="1296144"/>
        </a:xfrm>
      </xdr:grpSpPr>
      <xdr:sp macro="" textlink="">
        <xdr:nvSpPr>
          <xdr:cNvPr id="117" name="角丸四角形 116"/>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18" name="グループ化 117"/>
          <xdr:cNvGrpSpPr/>
        </xdr:nvGrpSpPr>
        <xdr:grpSpPr>
          <a:xfrm>
            <a:off x="842964" y="671512"/>
            <a:ext cx="545307" cy="641538"/>
            <a:chOff x="3162860" y="6191931"/>
            <a:chExt cx="396350" cy="466295"/>
          </a:xfrm>
        </xdr:grpSpPr>
        <xdr:sp macro="" textlink="">
          <xdr:nvSpPr>
            <xdr:cNvPr id="119" name="台形 118"/>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0" name="台形 119"/>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21" name="直線コネクタ 120"/>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2" name="直線コネクタ 121"/>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9" name="直線コネクタ 128"/>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30" name="グループ化 129"/>
            <xdr:cNvGrpSpPr/>
          </xdr:nvGrpSpPr>
          <xdr:grpSpPr>
            <a:xfrm rot="5400000">
              <a:off x="3220358" y="6373338"/>
              <a:ext cx="274658" cy="295117"/>
              <a:chOff x="1100474" y="8541778"/>
              <a:chExt cx="354609" cy="381026"/>
            </a:xfrm>
          </xdr:grpSpPr>
          <xdr:cxnSp macro="">
            <xdr:nvCxnSpPr>
              <xdr:cNvPr id="131" name="曲線コネクタ 130"/>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32" name="曲線コネクタ 131"/>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33" name="曲線コネクタ 132"/>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23</xdr:row>
      <xdr:rowOff>143313</xdr:rowOff>
    </xdr:from>
    <xdr:to>
      <xdr:col>18</xdr:col>
      <xdr:colOff>610062</xdr:colOff>
      <xdr:row>26</xdr:row>
      <xdr:rowOff>388342</xdr:rowOff>
    </xdr:to>
    <xdr:sp macro="" textlink="">
      <xdr:nvSpPr>
        <xdr:cNvPr id="147" name="角丸四角形 146"/>
        <xdr:cNvSpPr/>
      </xdr:nvSpPr>
      <xdr:spPr>
        <a:xfrm>
          <a:off x="5940694" y="6239313"/>
          <a:ext cx="1314456" cy="1309588"/>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24</xdr:row>
      <xdr:rowOff>194593</xdr:rowOff>
    </xdr:from>
    <xdr:to>
      <xdr:col>18</xdr:col>
      <xdr:colOff>498381</xdr:colOff>
      <xdr:row>25</xdr:row>
      <xdr:rowOff>227518</xdr:rowOff>
    </xdr:to>
    <xdr:grpSp>
      <xdr:nvGrpSpPr>
        <xdr:cNvPr id="151" name="グループ化 150"/>
        <xdr:cNvGrpSpPr/>
      </xdr:nvGrpSpPr>
      <xdr:grpSpPr>
        <a:xfrm>
          <a:off x="6404278" y="6436269"/>
          <a:ext cx="739191" cy="492367"/>
          <a:chOff x="15865410" y="6040532"/>
          <a:chExt cx="531149" cy="361912"/>
        </a:xfrm>
      </xdr:grpSpPr>
      <xdr:sp macro="" textlink="">
        <xdr:nvSpPr>
          <xdr:cNvPr id="152" name="台形 151"/>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53" name="台形 152"/>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54" name="台形 153"/>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55" name="台形 154"/>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56" name="直線コネクタ 155"/>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57" name="直線矢印コネクタ 156"/>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58" name="直線コネクタ 157"/>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19896</xdr:colOff>
      <xdr:row>29</xdr:row>
      <xdr:rowOff>34193</xdr:rowOff>
    </xdr:from>
    <xdr:to>
      <xdr:col>9</xdr:col>
      <xdr:colOff>115665</xdr:colOff>
      <xdr:row>30</xdr:row>
      <xdr:rowOff>42389</xdr:rowOff>
    </xdr:to>
    <xdr:sp macro="" textlink="">
      <xdr:nvSpPr>
        <xdr:cNvPr id="159" name="正方形/長方形 158"/>
        <xdr:cNvSpPr/>
      </xdr:nvSpPr>
      <xdr:spPr>
        <a:xfrm>
          <a:off x="19896" y="8102428"/>
          <a:ext cx="4241945" cy="32196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76092</xdr:colOff>
      <xdr:row>29</xdr:row>
      <xdr:rowOff>34750</xdr:rowOff>
    </xdr:from>
    <xdr:to>
      <xdr:col>19</xdr:col>
      <xdr:colOff>0</xdr:colOff>
      <xdr:row>30</xdr:row>
      <xdr:rowOff>42946</xdr:rowOff>
    </xdr:to>
    <xdr:sp macro="" textlink="">
      <xdr:nvSpPr>
        <xdr:cNvPr id="160" name="正方形/長方形 159"/>
        <xdr:cNvSpPr/>
      </xdr:nvSpPr>
      <xdr:spPr>
        <a:xfrm>
          <a:off x="4345533" y="8102985"/>
          <a:ext cx="2949496" cy="32196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28</xdr:row>
      <xdr:rowOff>199636</xdr:rowOff>
    </xdr:from>
    <xdr:to>
      <xdr:col>14</xdr:col>
      <xdr:colOff>278720</xdr:colOff>
      <xdr:row>30</xdr:row>
      <xdr:rowOff>8284</xdr:rowOff>
    </xdr:to>
    <xdr:sp macro="" textlink="">
      <xdr:nvSpPr>
        <xdr:cNvPr id="161" name="テキスト ボックス 132"/>
        <xdr:cNvSpPr txBox="1"/>
      </xdr:nvSpPr>
      <xdr:spPr>
        <a:xfrm>
          <a:off x="4346636" y="8043754"/>
          <a:ext cx="1109202" cy="34653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0</xdr:col>
      <xdr:colOff>0</xdr:colOff>
      <xdr:row>28</xdr:row>
      <xdr:rowOff>203931</xdr:rowOff>
    </xdr:from>
    <xdr:to>
      <xdr:col>2</xdr:col>
      <xdr:colOff>295060</xdr:colOff>
      <xdr:row>30</xdr:row>
      <xdr:rowOff>49696</xdr:rowOff>
    </xdr:to>
    <xdr:sp macro="" textlink="">
      <xdr:nvSpPr>
        <xdr:cNvPr id="162" name="テキスト ボックス 322"/>
        <xdr:cNvSpPr txBox="1"/>
      </xdr:nvSpPr>
      <xdr:spPr>
        <a:xfrm>
          <a:off x="0" y="8048049"/>
          <a:ext cx="1830266" cy="383647"/>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11</xdr:col>
      <xdr:colOff>77564</xdr:colOff>
      <xdr:row>30</xdr:row>
      <xdr:rowOff>143314</xdr:rowOff>
    </xdr:from>
    <xdr:to>
      <xdr:col>15</xdr:col>
      <xdr:colOff>244710</xdr:colOff>
      <xdr:row>33</xdr:row>
      <xdr:rowOff>388343</xdr:rowOff>
    </xdr:to>
    <xdr:grpSp>
      <xdr:nvGrpSpPr>
        <xdr:cNvPr id="163" name="グループ化 162"/>
        <xdr:cNvGrpSpPr/>
      </xdr:nvGrpSpPr>
      <xdr:grpSpPr>
        <a:xfrm>
          <a:off x="4436652" y="8525314"/>
          <a:ext cx="1321352" cy="1309588"/>
          <a:chOff x="328402" y="476640"/>
          <a:chExt cx="1296144" cy="1296144"/>
        </a:xfrm>
      </xdr:grpSpPr>
      <xdr:sp macro="" textlink="">
        <xdr:nvSpPr>
          <xdr:cNvPr id="164" name="角丸四角形 163"/>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65" name="グループ化 164"/>
          <xdr:cNvGrpSpPr/>
        </xdr:nvGrpSpPr>
        <xdr:grpSpPr>
          <a:xfrm>
            <a:off x="842964" y="671512"/>
            <a:ext cx="545307" cy="641538"/>
            <a:chOff x="3162860" y="6191931"/>
            <a:chExt cx="396350" cy="466295"/>
          </a:xfrm>
        </xdr:grpSpPr>
        <xdr:sp macro="" textlink="">
          <xdr:nvSpPr>
            <xdr:cNvPr id="166" name="台形 165"/>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67" name="台形 166"/>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68" name="直線コネクタ 167"/>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69" name="直線コネクタ 168"/>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0" name="直線コネクタ 169"/>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1" name="直線コネクタ 170"/>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2" name="直線コネクタ 171"/>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3" name="直線コネクタ 172"/>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4" name="直線コネクタ 173"/>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75" name="グループ化 174"/>
            <xdr:cNvGrpSpPr/>
          </xdr:nvGrpSpPr>
          <xdr:grpSpPr>
            <a:xfrm rot="5400000">
              <a:off x="3220358" y="6373338"/>
              <a:ext cx="274658" cy="295117"/>
              <a:chOff x="1100474" y="8541778"/>
              <a:chExt cx="354609" cy="381026"/>
            </a:xfrm>
          </xdr:grpSpPr>
          <xdr:cxnSp macro="">
            <xdr:nvCxnSpPr>
              <xdr:cNvPr id="176" name="曲線コネクタ 175"/>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77" name="曲線コネクタ 176"/>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78" name="曲線コネクタ 177"/>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30</xdr:row>
      <xdr:rowOff>143313</xdr:rowOff>
    </xdr:from>
    <xdr:to>
      <xdr:col>18</xdr:col>
      <xdr:colOff>610062</xdr:colOff>
      <xdr:row>33</xdr:row>
      <xdr:rowOff>388342</xdr:rowOff>
    </xdr:to>
    <xdr:sp macro="" textlink="">
      <xdr:nvSpPr>
        <xdr:cNvPr id="181" name="角丸四角形 180"/>
        <xdr:cNvSpPr/>
      </xdr:nvSpPr>
      <xdr:spPr>
        <a:xfrm>
          <a:off x="5940694" y="8525313"/>
          <a:ext cx="1314456" cy="1309588"/>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31</xdr:row>
      <xdr:rowOff>194593</xdr:rowOff>
    </xdr:from>
    <xdr:to>
      <xdr:col>18</xdr:col>
      <xdr:colOff>498381</xdr:colOff>
      <xdr:row>32</xdr:row>
      <xdr:rowOff>227518</xdr:rowOff>
    </xdr:to>
    <xdr:grpSp>
      <xdr:nvGrpSpPr>
        <xdr:cNvPr id="185" name="グループ化 184"/>
        <xdr:cNvGrpSpPr/>
      </xdr:nvGrpSpPr>
      <xdr:grpSpPr>
        <a:xfrm>
          <a:off x="6404278" y="8722269"/>
          <a:ext cx="739191" cy="492367"/>
          <a:chOff x="15865410" y="6040532"/>
          <a:chExt cx="531149" cy="361912"/>
        </a:xfrm>
      </xdr:grpSpPr>
      <xdr:sp macro="" textlink="">
        <xdr:nvSpPr>
          <xdr:cNvPr id="186" name="台形 185"/>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87" name="台形 186"/>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88" name="台形 187"/>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89" name="台形 188"/>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90" name="直線コネクタ 189"/>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91" name="直線矢印コネクタ 190"/>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92" name="直線コネクタ 191"/>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17899</xdr:colOff>
      <xdr:row>85</xdr:row>
      <xdr:rowOff>33697</xdr:rowOff>
    </xdr:from>
    <xdr:to>
      <xdr:col>18</xdr:col>
      <xdr:colOff>649061</xdr:colOff>
      <xdr:row>86</xdr:row>
      <xdr:rowOff>73268</xdr:rowOff>
    </xdr:to>
    <xdr:sp macro="" textlink="">
      <xdr:nvSpPr>
        <xdr:cNvPr id="145" name="正方形/長方形 144"/>
        <xdr:cNvSpPr/>
      </xdr:nvSpPr>
      <xdr:spPr>
        <a:xfrm flipV="1">
          <a:off x="17899" y="11282722"/>
          <a:ext cx="7260562" cy="182446"/>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0</xdr:col>
      <xdr:colOff>19896</xdr:colOff>
      <xdr:row>58</xdr:row>
      <xdr:rowOff>34193</xdr:rowOff>
    </xdr:from>
    <xdr:to>
      <xdr:col>9</xdr:col>
      <xdr:colOff>115665</xdr:colOff>
      <xdr:row>59</xdr:row>
      <xdr:rowOff>42389</xdr:rowOff>
    </xdr:to>
    <xdr:sp macro="" textlink="">
      <xdr:nvSpPr>
        <xdr:cNvPr id="146" name="正方形/長方形 145"/>
        <xdr:cNvSpPr/>
      </xdr:nvSpPr>
      <xdr:spPr>
        <a:xfrm>
          <a:off x="19896" y="3567968"/>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29840</xdr:colOff>
      <xdr:row>45</xdr:row>
      <xdr:rowOff>16857</xdr:rowOff>
    </xdr:from>
    <xdr:to>
      <xdr:col>19</xdr:col>
      <xdr:colOff>27214</xdr:colOff>
      <xdr:row>46</xdr:row>
      <xdr:rowOff>18944</xdr:rowOff>
    </xdr:to>
    <xdr:sp macro="" textlink="">
      <xdr:nvSpPr>
        <xdr:cNvPr id="193" name="正方形/長方形 192"/>
        <xdr:cNvSpPr/>
      </xdr:nvSpPr>
      <xdr:spPr>
        <a:xfrm>
          <a:off x="29840" y="159732"/>
          <a:ext cx="7274474" cy="678362"/>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19896</xdr:colOff>
      <xdr:row>48</xdr:row>
      <xdr:rowOff>28025</xdr:rowOff>
    </xdr:from>
    <xdr:to>
      <xdr:col>10</xdr:col>
      <xdr:colOff>4243</xdr:colOff>
      <xdr:row>49</xdr:row>
      <xdr:rowOff>36222</xdr:rowOff>
    </xdr:to>
    <xdr:sp macro="" textlink="">
      <xdr:nvSpPr>
        <xdr:cNvPr id="197" name="正方形/長方形 196"/>
        <xdr:cNvSpPr/>
      </xdr:nvSpPr>
      <xdr:spPr>
        <a:xfrm>
          <a:off x="19896" y="1275800"/>
          <a:ext cx="4242022" cy="322522"/>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47</xdr:row>
      <xdr:rowOff>35842</xdr:rowOff>
    </xdr:from>
    <xdr:to>
      <xdr:col>2</xdr:col>
      <xdr:colOff>295060</xdr:colOff>
      <xdr:row>49</xdr:row>
      <xdr:rowOff>49695</xdr:rowOff>
    </xdr:to>
    <xdr:sp macro="" textlink="">
      <xdr:nvSpPr>
        <xdr:cNvPr id="198" name="テキスト ボックス 322"/>
        <xdr:cNvSpPr txBox="1"/>
      </xdr:nvSpPr>
      <xdr:spPr>
        <a:xfrm>
          <a:off x="0" y="1226467"/>
          <a:ext cx="1828585" cy="385328"/>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13607</xdr:colOff>
      <xdr:row>44</xdr:row>
      <xdr:rowOff>139321</xdr:rowOff>
    </xdr:from>
    <xdr:to>
      <xdr:col>19</xdr:col>
      <xdr:colOff>0</xdr:colOff>
      <xdr:row>46</xdr:row>
      <xdr:rowOff>40283</xdr:rowOff>
    </xdr:to>
    <xdr:sp macro="" textlink="">
      <xdr:nvSpPr>
        <xdr:cNvPr id="199" name="テキスト ボックス 445"/>
        <xdr:cNvSpPr txBox="1"/>
      </xdr:nvSpPr>
      <xdr:spPr>
        <a:xfrm>
          <a:off x="13607" y="139321"/>
          <a:ext cx="7263493" cy="720112"/>
        </a:xfrm>
        <a:prstGeom prst="rect">
          <a:avLst/>
        </a:prstGeom>
        <a:noFill/>
      </xdr:spPr>
      <xdr:txBody>
        <a:bodyPr wrap="square" tIns="10800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400" b="1">
              <a:solidFill>
                <a:schemeClr val="bg1"/>
              </a:solidFill>
              <a:latin typeface="メイリオ" pitchFamily="50" charset="-128"/>
              <a:ea typeface="メイリオ" pitchFamily="50" charset="-128"/>
              <a:cs typeface="メイリオ" pitchFamily="50" charset="-128"/>
            </a:rPr>
            <a:t>省エネ改修効果診断書（テナント専用部）</a:t>
          </a:r>
        </a:p>
      </xdr:txBody>
    </xdr:sp>
    <xdr:clientData/>
  </xdr:twoCellAnchor>
  <xdr:twoCellAnchor>
    <xdr:from>
      <xdr:col>0</xdr:col>
      <xdr:colOff>86088</xdr:colOff>
      <xdr:row>75</xdr:row>
      <xdr:rowOff>141316</xdr:rowOff>
    </xdr:from>
    <xdr:to>
      <xdr:col>0</xdr:col>
      <xdr:colOff>86088</xdr:colOff>
      <xdr:row>75</xdr:row>
      <xdr:rowOff>141316</xdr:rowOff>
    </xdr:to>
    <xdr:cxnSp macro="">
      <xdr:nvCxnSpPr>
        <xdr:cNvPr id="217" name="直線コネクタ 216"/>
        <xdr:cNvCxnSpPr/>
      </xdr:nvCxnSpPr>
      <xdr:spPr>
        <a:xfrm>
          <a:off x="86088" y="9161491"/>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70121</xdr:colOff>
      <xdr:row>84</xdr:row>
      <xdr:rowOff>127099</xdr:rowOff>
    </xdr:from>
    <xdr:to>
      <xdr:col>19</xdr:col>
      <xdr:colOff>57150</xdr:colOff>
      <xdr:row>87</xdr:row>
      <xdr:rowOff>42235</xdr:rowOff>
    </xdr:to>
    <xdr:sp macro="" textlink="">
      <xdr:nvSpPr>
        <xdr:cNvPr id="218" name="テキスト ボックス 255"/>
        <xdr:cNvSpPr txBox="1"/>
      </xdr:nvSpPr>
      <xdr:spPr>
        <a:xfrm>
          <a:off x="5232671" y="11233249"/>
          <a:ext cx="2101579" cy="391386"/>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650" b="1">
              <a:solidFill>
                <a:schemeClr val="bg1"/>
              </a:solidFill>
              <a:latin typeface="メイリオ" pitchFamily="50" charset="-128"/>
              <a:ea typeface="メイリオ" pitchFamily="50" charset="-128"/>
              <a:cs typeface="メイリオ" pitchFamily="50" charset="-128"/>
            </a:rPr>
            <a:t>TOKYO METROPOLITAN GOVERNMENT          </a:t>
          </a:r>
          <a:endParaRPr kumimoji="1" lang="ja-JP" altLang="en-US" sz="650" b="1">
            <a:solidFill>
              <a:schemeClr val="bg1"/>
            </a:solidFill>
            <a:latin typeface="メイリオ" pitchFamily="50" charset="-128"/>
            <a:ea typeface="メイリオ" pitchFamily="50" charset="-128"/>
            <a:cs typeface="メイリオ" pitchFamily="50" charset="-128"/>
          </a:endParaRPr>
        </a:p>
      </xdr:txBody>
    </xdr:sp>
    <xdr:clientData/>
  </xdr:twoCellAnchor>
  <xdr:twoCellAnchor>
    <xdr:from>
      <xdr:col>18</xdr:col>
      <xdr:colOff>190500</xdr:colOff>
      <xdr:row>86</xdr:row>
      <xdr:rowOff>30277</xdr:rowOff>
    </xdr:from>
    <xdr:to>
      <xdr:col>19</xdr:col>
      <xdr:colOff>138546</xdr:colOff>
      <xdr:row>87</xdr:row>
      <xdr:rowOff>103909</xdr:rowOff>
    </xdr:to>
    <xdr:sp macro="" textlink="">
      <xdr:nvSpPr>
        <xdr:cNvPr id="223" name="テキスト ボックス 505"/>
        <xdr:cNvSpPr txBox="1"/>
      </xdr:nvSpPr>
      <xdr:spPr>
        <a:xfrm>
          <a:off x="6819900" y="11422177"/>
          <a:ext cx="595746" cy="26413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600">
              <a:latin typeface="HG丸ｺﾞｼｯｸM-PRO" pitchFamily="50" charset="-128"/>
              <a:ea typeface="HG丸ｺﾞｼｯｸM-PRO" pitchFamily="50" charset="-128"/>
            </a:rPr>
            <a:t>ver.1.0</a:t>
          </a:r>
          <a:endParaRPr lang="ja-JP" altLang="en-US" sz="600">
            <a:latin typeface="HG丸ｺﾞｼｯｸM-PRO" pitchFamily="50" charset="-128"/>
            <a:ea typeface="HG丸ｺﾞｼｯｸM-PRO" pitchFamily="50" charset="-128"/>
          </a:endParaRPr>
        </a:p>
      </xdr:txBody>
    </xdr:sp>
    <xdr:clientData/>
  </xdr:twoCellAnchor>
  <xdr:twoCellAnchor>
    <xdr:from>
      <xdr:col>0</xdr:col>
      <xdr:colOff>0</xdr:colOff>
      <xdr:row>57</xdr:row>
      <xdr:rowOff>203931</xdr:rowOff>
    </xdr:from>
    <xdr:to>
      <xdr:col>2</xdr:col>
      <xdr:colOff>295060</xdr:colOff>
      <xdr:row>59</xdr:row>
      <xdr:rowOff>49696</xdr:rowOff>
    </xdr:to>
    <xdr:sp macro="" textlink="">
      <xdr:nvSpPr>
        <xdr:cNvPr id="227" name="テキスト ボックス 322"/>
        <xdr:cNvSpPr txBox="1"/>
      </xdr:nvSpPr>
      <xdr:spPr>
        <a:xfrm>
          <a:off x="0" y="3509106"/>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19896</xdr:colOff>
      <xdr:row>65</xdr:row>
      <xdr:rowOff>45399</xdr:rowOff>
    </xdr:from>
    <xdr:to>
      <xdr:col>9</xdr:col>
      <xdr:colOff>115665</xdr:colOff>
      <xdr:row>66</xdr:row>
      <xdr:rowOff>53595</xdr:rowOff>
    </xdr:to>
    <xdr:sp macro="" textlink="">
      <xdr:nvSpPr>
        <xdr:cNvPr id="266" name="正方形/長方形 265"/>
        <xdr:cNvSpPr/>
      </xdr:nvSpPr>
      <xdr:spPr>
        <a:xfrm>
          <a:off x="19896" y="5865174"/>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64</xdr:row>
      <xdr:rowOff>215137</xdr:rowOff>
    </xdr:from>
    <xdr:to>
      <xdr:col>2</xdr:col>
      <xdr:colOff>295060</xdr:colOff>
      <xdr:row>66</xdr:row>
      <xdr:rowOff>60902</xdr:rowOff>
    </xdr:to>
    <xdr:sp macro="" textlink="">
      <xdr:nvSpPr>
        <xdr:cNvPr id="269" name="テキスト ボックス 322"/>
        <xdr:cNvSpPr txBox="1"/>
      </xdr:nvSpPr>
      <xdr:spPr>
        <a:xfrm>
          <a:off x="0" y="5806312"/>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19896</xdr:colOff>
      <xdr:row>72</xdr:row>
      <xdr:rowOff>34193</xdr:rowOff>
    </xdr:from>
    <xdr:to>
      <xdr:col>9</xdr:col>
      <xdr:colOff>115665</xdr:colOff>
      <xdr:row>73</xdr:row>
      <xdr:rowOff>42389</xdr:rowOff>
    </xdr:to>
    <xdr:sp macro="" textlink="">
      <xdr:nvSpPr>
        <xdr:cNvPr id="300" name="正方形/長方形 299"/>
        <xdr:cNvSpPr/>
      </xdr:nvSpPr>
      <xdr:spPr>
        <a:xfrm>
          <a:off x="19896" y="8139968"/>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71</xdr:row>
      <xdr:rowOff>203931</xdr:rowOff>
    </xdr:from>
    <xdr:to>
      <xdr:col>2</xdr:col>
      <xdr:colOff>295060</xdr:colOff>
      <xdr:row>73</xdr:row>
      <xdr:rowOff>49696</xdr:rowOff>
    </xdr:to>
    <xdr:sp macro="" textlink="">
      <xdr:nvSpPr>
        <xdr:cNvPr id="303" name="テキスト ボックス 322"/>
        <xdr:cNvSpPr txBox="1"/>
      </xdr:nvSpPr>
      <xdr:spPr>
        <a:xfrm>
          <a:off x="0" y="8081106"/>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17899</xdr:colOff>
      <xdr:row>127</xdr:row>
      <xdr:rowOff>33697</xdr:rowOff>
    </xdr:from>
    <xdr:to>
      <xdr:col>18</xdr:col>
      <xdr:colOff>649061</xdr:colOff>
      <xdr:row>128</xdr:row>
      <xdr:rowOff>73268</xdr:rowOff>
    </xdr:to>
    <xdr:sp macro="" textlink="">
      <xdr:nvSpPr>
        <xdr:cNvPr id="335" name="正方形/長方形 334"/>
        <xdr:cNvSpPr/>
      </xdr:nvSpPr>
      <xdr:spPr>
        <a:xfrm flipV="1">
          <a:off x="17899" y="22550797"/>
          <a:ext cx="7260562" cy="182446"/>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0</xdr:col>
      <xdr:colOff>19896</xdr:colOff>
      <xdr:row>100</xdr:row>
      <xdr:rowOff>34193</xdr:rowOff>
    </xdr:from>
    <xdr:to>
      <xdr:col>9</xdr:col>
      <xdr:colOff>115665</xdr:colOff>
      <xdr:row>101</xdr:row>
      <xdr:rowOff>42389</xdr:rowOff>
    </xdr:to>
    <xdr:sp macro="" textlink="">
      <xdr:nvSpPr>
        <xdr:cNvPr id="336" name="正方形/長方形 335"/>
        <xdr:cNvSpPr/>
      </xdr:nvSpPr>
      <xdr:spPr>
        <a:xfrm>
          <a:off x="19896" y="14836043"/>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29840</xdr:colOff>
      <xdr:row>87</xdr:row>
      <xdr:rowOff>16857</xdr:rowOff>
    </xdr:from>
    <xdr:to>
      <xdr:col>19</xdr:col>
      <xdr:colOff>27214</xdr:colOff>
      <xdr:row>88</xdr:row>
      <xdr:rowOff>18944</xdr:rowOff>
    </xdr:to>
    <xdr:sp macro="" textlink="">
      <xdr:nvSpPr>
        <xdr:cNvPr id="337" name="正方形/長方形 336"/>
        <xdr:cNvSpPr/>
      </xdr:nvSpPr>
      <xdr:spPr>
        <a:xfrm>
          <a:off x="29840" y="11742132"/>
          <a:ext cx="7274474" cy="678362"/>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19896</xdr:colOff>
      <xdr:row>90</xdr:row>
      <xdr:rowOff>28025</xdr:rowOff>
    </xdr:from>
    <xdr:to>
      <xdr:col>10</xdr:col>
      <xdr:colOff>4243</xdr:colOff>
      <xdr:row>91</xdr:row>
      <xdr:rowOff>36222</xdr:rowOff>
    </xdr:to>
    <xdr:sp macro="" textlink="">
      <xdr:nvSpPr>
        <xdr:cNvPr id="341" name="正方形/長方形 340"/>
        <xdr:cNvSpPr/>
      </xdr:nvSpPr>
      <xdr:spPr>
        <a:xfrm>
          <a:off x="19896" y="12543875"/>
          <a:ext cx="4242022" cy="322522"/>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89</xdr:row>
      <xdr:rowOff>35842</xdr:rowOff>
    </xdr:from>
    <xdr:to>
      <xdr:col>2</xdr:col>
      <xdr:colOff>295060</xdr:colOff>
      <xdr:row>91</xdr:row>
      <xdr:rowOff>49695</xdr:rowOff>
    </xdr:to>
    <xdr:sp macro="" textlink="">
      <xdr:nvSpPr>
        <xdr:cNvPr id="342" name="テキスト ボックス 322"/>
        <xdr:cNvSpPr txBox="1"/>
      </xdr:nvSpPr>
      <xdr:spPr>
        <a:xfrm>
          <a:off x="0" y="12494542"/>
          <a:ext cx="1828585" cy="385328"/>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13607</xdr:colOff>
      <xdr:row>86</xdr:row>
      <xdr:rowOff>139321</xdr:rowOff>
    </xdr:from>
    <xdr:to>
      <xdr:col>19</xdr:col>
      <xdr:colOff>0</xdr:colOff>
      <xdr:row>88</xdr:row>
      <xdr:rowOff>40283</xdr:rowOff>
    </xdr:to>
    <xdr:sp macro="" textlink="">
      <xdr:nvSpPr>
        <xdr:cNvPr id="343" name="テキスト ボックス 445"/>
        <xdr:cNvSpPr txBox="1"/>
      </xdr:nvSpPr>
      <xdr:spPr>
        <a:xfrm>
          <a:off x="13607" y="11721721"/>
          <a:ext cx="7263493" cy="720112"/>
        </a:xfrm>
        <a:prstGeom prst="rect">
          <a:avLst/>
        </a:prstGeom>
        <a:noFill/>
      </xdr:spPr>
      <xdr:txBody>
        <a:bodyPr wrap="square" tIns="10800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400" b="1">
              <a:solidFill>
                <a:schemeClr val="bg1"/>
              </a:solidFill>
              <a:latin typeface="メイリオ" pitchFamily="50" charset="-128"/>
              <a:ea typeface="メイリオ" pitchFamily="50" charset="-128"/>
              <a:cs typeface="メイリオ" pitchFamily="50" charset="-128"/>
            </a:rPr>
            <a:t>省エネ改修効果診断書（テナント専用部）</a:t>
          </a:r>
        </a:p>
      </xdr:txBody>
    </xdr:sp>
    <xdr:clientData/>
  </xdr:twoCellAnchor>
  <xdr:twoCellAnchor>
    <xdr:from>
      <xdr:col>0</xdr:col>
      <xdr:colOff>86088</xdr:colOff>
      <xdr:row>117</xdr:row>
      <xdr:rowOff>141316</xdr:rowOff>
    </xdr:from>
    <xdr:to>
      <xdr:col>0</xdr:col>
      <xdr:colOff>86088</xdr:colOff>
      <xdr:row>117</xdr:row>
      <xdr:rowOff>141316</xdr:rowOff>
    </xdr:to>
    <xdr:cxnSp macro="">
      <xdr:nvCxnSpPr>
        <xdr:cNvPr id="361" name="直線コネクタ 360"/>
        <xdr:cNvCxnSpPr/>
      </xdr:nvCxnSpPr>
      <xdr:spPr>
        <a:xfrm>
          <a:off x="86088" y="20429566"/>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70121</xdr:colOff>
      <xdr:row>126</xdr:row>
      <xdr:rowOff>127099</xdr:rowOff>
    </xdr:from>
    <xdr:to>
      <xdr:col>19</xdr:col>
      <xdr:colOff>57150</xdr:colOff>
      <xdr:row>129</xdr:row>
      <xdr:rowOff>42235</xdr:rowOff>
    </xdr:to>
    <xdr:sp macro="" textlink="">
      <xdr:nvSpPr>
        <xdr:cNvPr id="362" name="テキスト ボックス 255"/>
        <xdr:cNvSpPr txBox="1"/>
      </xdr:nvSpPr>
      <xdr:spPr>
        <a:xfrm>
          <a:off x="5232671" y="22501324"/>
          <a:ext cx="2101579" cy="391386"/>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650" b="1">
              <a:solidFill>
                <a:schemeClr val="bg1"/>
              </a:solidFill>
              <a:latin typeface="メイリオ" pitchFamily="50" charset="-128"/>
              <a:ea typeface="メイリオ" pitchFamily="50" charset="-128"/>
              <a:cs typeface="メイリオ" pitchFamily="50" charset="-128"/>
            </a:rPr>
            <a:t>TOKYO METROPOLITAN GOVERNMENT          </a:t>
          </a:r>
          <a:endParaRPr kumimoji="1" lang="ja-JP" altLang="en-US" sz="650" b="1">
            <a:solidFill>
              <a:schemeClr val="bg1"/>
            </a:solidFill>
            <a:latin typeface="メイリオ" pitchFamily="50" charset="-128"/>
            <a:ea typeface="メイリオ" pitchFamily="50" charset="-128"/>
            <a:cs typeface="メイリオ" pitchFamily="50" charset="-128"/>
          </a:endParaRPr>
        </a:p>
      </xdr:txBody>
    </xdr:sp>
    <xdr:clientData/>
  </xdr:twoCellAnchor>
  <xdr:twoCellAnchor>
    <xdr:from>
      <xdr:col>18</xdr:col>
      <xdr:colOff>190500</xdr:colOff>
      <xdr:row>128</xdr:row>
      <xdr:rowOff>30277</xdr:rowOff>
    </xdr:from>
    <xdr:to>
      <xdr:col>19</xdr:col>
      <xdr:colOff>138546</xdr:colOff>
      <xdr:row>129</xdr:row>
      <xdr:rowOff>103909</xdr:rowOff>
    </xdr:to>
    <xdr:sp macro="" textlink="">
      <xdr:nvSpPr>
        <xdr:cNvPr id="367" name="テキスト ボックス 505"/>
        <xdr:cNvSpPr txBox="1"/>
      </xdr:nvSpPr>
      <xdr:spPr>
        <a:xfrm>
          <a:off x="6819900" y="22690252"/>
          <a:ext cx="595746" cy="26413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600">
              <a:latin typeface="HG丸ｺﾞｼｯｸM-PRO" pitchFamily="50" charset="-128"/>
              <a:ea typeface="HG丸ｺﾞｼｯｸM-PRO" pitchFamily="50" charset="-128"/>
            </a:rPr>
            <a:t>ver.1.0</a:t>
          </a:r>
          <a:endParaRPr lang="ja-JP" altLang="en-US" sz="600">
            <a:latin typeface="HG丸ｺﾞｼｯｸM-PRO" pitchFamily="50" charset="-128"/>
            <a:ea typeface="HG丸ｺﾞｼｯｸM-PRO" pitchFamily="50" charset="-128"/>
          </a:endParaRPr>
        </a:p>
      </xdr:txBody>
    </xdr:sp>
    <xdr:clientData/>
  </xdr:twoCellAnchor>
  <xdr:twoCellAnchor>
    <xdr:from>
      <xdr:col>0</xdr:col>
      <xdr:colOff>0</xdr:colOff>
      <xdr:row>99</xdr:row>
      <xdr:rowOff>203931</xdr:rowOff>
    </xdr:from>
    <xdr:to>
      <xdr:col>2</xdr:col>
      <xdr:colOff>295060</xdr:colOff>
      <xdr:row>101</xdr:row>
      <xdr:rowOff>49696</xdr:rowOff>
    </xdr:to>
    <xdr:sp macro="" textlink="">
      <xdr:nvSpPr>
        <xdr:cNvPr id="370" name="テキスト ボックス 322"/>
        <xdr:cNvSpPr txBox="1"/>
      </xdr:nvSpPr>
      <xdr:spPr>
        <a:xfrm>
          <a:off x="0" y="14777181"/>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19896</xdr:colOff>
      <xdr:row>107</xdr:row>
      <xdr:rowOff>45399</xdr:rowOff>
    </xdr:from>
    <xdr:to>
      <xdr:col>9</xdr:col>
      <xdr:colOff>115665</xdr:colOff>
      <xdr:row>108</xdr:row>
      <xdr:rowOff>53595</xdr:rowOff>
    </xdr:to>
    <xdr:sp macro="" textlink="">
      <xdr:nvSpPr>
        <xdr:cNvPr id="409" name="正方形/長方形 408"/>
        <xdr:cNvSpPr/>
      </xdr:nvSpPr>
      <xdr:spPr>
        <a:xfrm>
          <a:off x="19896" y="17133249"/>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106</xdr:row>
      <xdr:rowOff>215137</xdr:rowOff>
    </xdr:from>
    <xdr:to>
      <xdr:col>2</xdr:col>
      <xdr:colOff>295060</xdr:colOff>
      <xdr:row>108</xdr:row>
      <xdr:rowOff>60902</xdr:rowOff>
    </xdr:to>
    <xdr:sp macro="" textlink="">
      <xdr:nvSpPr>
        <xdr:cNvPr id="412" name="テキスト ボックス 322"/>
        <xdr:cNvSpPr txBox="1"/>
      </xdr:nvSpPr>
      <xdr:spPr>
        <a:xfrm>
          <a:off x="0" y="17074387"/>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19896</xdr:colOff>
      <xdr:row>114</xdr:row>
      <xdr:rowOff>34193</xdr:rowOff>
    </xdr:from>
    <xdr:to>
      <xdr:col>9</xdr:col>
      <xdr:colOff>115665</xdr:colOff>
      <xdr:row>115</xdr:row>
      <xdr:rowOff>42389</xdr:rowOff>
    </xdr:to>
    <xdr:sp macro="" textlink="">
      <xdr:nvSpPr>
        <xdr:cNvPr id="443" name="正方形/長方形 442"/>
        <xdr:cNvSpPr/>
      </xdr:nvSpPr>
      <xdr:spPr>
        <a:xfrm>
          <a:off x="19896" y="19408043"/>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113</xdr:row>
      <xdr:rowOff>203931</xdr:rowOff>
    </xdr:from>
    <xdr:to>
      <xdr:col>2</xdr:col>
      <xdr:colOff>295060</xdr:colOff>
      <xdr:row>115</xdr:row>
      <xdr:rowOff>49696</xdr:rowOff>
    </xdr:to>
    <xdr:sp macro="" textlink="">
      <xdr:nvSpPr>
        <xdr:cNvPr id="446" name="テキスト ボックス 322"/>
        <xdr:cNvSpPr txBox="1"/>
      </xdr:nvSpPr>
      <xdr:spPr>
        <a:xfrm>
          <a:off x="0" y="19349181"/>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18</xdr:col>
      <xdr:colOff>190500</xdr:colOff>
      <xdr:row>128</xdr:row>
      <xdr:rowOff>30277</xdr:rowOff>
    </xdr:from>
    <xdr:to>
      <xdr:col>19</xdr:col>
      <xdr:colOff>138546</xdr:colOff>
      <xdr:row>129</xdr:row>
      <xdr:rowOff>103909</xdr:rowOff>
    </xdr:to>
    <xdr:sp macro="" textlink="">
      <xdr:nvSpPr>
        <xdr:cNvPr id="494" name="テキスト ボックス 505"/>
        <xdr:cNvSpPr txBox="1"/>
      </xdr:nvSpPr>
      <xdr:spPr>
        <a:xfrm>
          <a:off x="6819900" y="22690252"/>
          <a:ext cx="595746" cy="26413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600">
              <a:latin typeface="HG丸ｺﾞｼｯｸM-PRO" pitchFamily="50" charset="-128"/>
              <a:ea typeface="HG丸ｺﾞｼｯｸM-PRO" pitchFamily="50" charset="-128"/>
            </a:rPr>
            <a:t>ver.1.0</a:t>
          </a:r>
          <a:endParaRPr lang="ja-JP" altLang="en-US" sz="600">
            <a:latin typeface="HG丸ｺﾞｼｯｸM-PRO" pitchFamily="50" charset="-128"/>
            <a:ea typeface="HG丸ｺﾞｼｯｸM-PRO" pitchFamily="50" charset="-128"/>
          </a:endParaRPr>
        </a:p>
      </xdr:txBody>
    </xdr:sp>
    <xdr:clientData/>
  </xdr:twoCellAnchor>
  <xdr:twoCellAnchor>
    <xdr:from>
      <xdr:col>0</xdr:col>
      <xdr:colOff>17899</xdr:colOff>
      <xdr:row>169</xdr:row>
      <xdr:rowOff>33697</xdr:rowOff>
    </xdr:from>
    <xdr:to>
      <xdr:col>18</xdr:col>
      <xdr:colOff>649061</xdr:colOff>
      <xdr:row>170</xdr:row>
      <xdr:rowOff>73268</xdr:rowOff>
    </xdr:to>
    <xdr:sp macro="" textlink="">
      <xdr:nvSpPr>
        <xdr:cNvPr id="495" name="正方形/長方形 494"/>
        <xdr:cNvSpPr/>
      </xdr:nvSpPr>
      <xdr:spPr>
        <a:xfrm flipV="1">
          <a:off x="17899" y="33675997"/>
          <a:ext cx="7260562" cy="182446"/>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0</xdr:col>
      <xdr:colOff>19896</xdr:colOff>
      <xdr:row>142</xdr:row>
      <xdr:rowOff>34193</xdr:rowOff>
    </xdr:from>
    <xdr:to>
      <xdr:col>9</xdr:col>
      <xdr:colOff>115665</xdr:colOff>
      <xdr:row>143</xdr:row>
      <xdr:rowOff>42389</xdr:rowOff>
    </xdr:to>
    <xdr:sp macro="" textlink="">
      <xdr:nvSpPr>
        <xdr:cNvPr id="496" name="正方形/長方形 495"/>
        <xdr:cNvSpPr/>
      </xdr:nvSpPr>
      <xdr:spPr>
        <a:xfrm>
          <a:off x="19896" y="25961243"/>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29840</xdr:colOff>
      <xdr:row>129</xdr:row>
      <xdr:rowOff>16857</xdr:rowOff>
    </xdr:from>
    <xdr:to>
      <xdr:col>19</xdr:col>
      <xdr:colOff>27214</xdr:colOff>
      <xdr:row>130</xdr:row>
      <xdr:rowOff>18944</xdr:rowOff>
    </xdr:to>
    <xdr:sp macro="" textlink="">
      <xdr:nvSpPr>
        <xdr:cNvPr id="497" name="正方形/長方形 496"/>
        <xdr:cNvSpPr/>
      </xdr:nvSpPr>
      <xdr:spPr>
        <a:xfrm>
          <a:off x="29840" y="22867332"/>
          <a:ext cx="7274474" cy="678362"/>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19896</xdr:colOff>
      <xdr:row>132</xdr:row>
      <xdr:rowOff>28025</xdr:rowOff>
    </xdr:from>
    <xdr:to>
      <xdr:col>10</xdr:col>
      <xdr:colOff>4243</xdr:colOff>
      <xdr:row>133</xdr:row>
      <xdr:rowOff>36222</xdr:rowOff>
    </xdr:to>
    <xdr:sp macro="" textlink="">
      <xdr:nvSpPr>
        <xdr:cNvPr id="501" name="正方形/長方形 500"/>
        <xdr:cNvSpPr/>
      </xdr:nvSpPr>
      <xdr:spPr>
        <a:xfrm>
          <a:off x="19896" y="23669075"/>
          <a:ext cx="4242022" cy="322522"/>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131</xdr:row>
      <xdr:rowOff>35842</xdr:rowOff>
    </xdr:from>
    <xdr:to>
      <xdr:col>2</xdr:col>
      <xdr:colOff>295060</xdr:colOff>
      <xdr:row>133</xdr:row>
      <xdr:rowOff>49695</xdr:rowOff>
    </xdr:to>
    <xdr:sp macro="" textlink="">
      <xdr:nvSpPr>
        <xdr:cNvPr id="502" name="テキスト ボックス 322"/>
        <xdr:cNvSpPr txBox="1"/>
      </xdr:nvSpPr>
      <xdr:spPr>
        <a:xfrm>
          <a:off x="0" y="23619742"/>
          <a:ext cx="1828585" cy="385328"/>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13607</xdr:colOff>
      <xdr:row>128</xdr:row>
      <xdr:rowOff>139321</xdr:rowOff>
    </xdr:from>
    <xdr:to>
      <xdr:col>19</xdr:col>
      <xdr:colOff>0</xdr:colOff>
      <xdr:row>130</xdr:row>
      <xdr:rowOff>40283</xdr:rowOff>
    </xdr:to>
    <xdr:sp macro="" textlink="">
      <xdr:nvSpPr>
        <xdr:cNvPr id="503" name="テキスト ボックス 445"/>
        <xdr:cNvSpPr txBox="1"/>
      </xdr:nvSpPr>
      <xdr:spPr>
        <a:xfrm>
          <a:off x="13607" y="22799296"/>
          <a:ext cx="7263493" cy="767737"/>
        </a:xfrm>
        <a:prstGeom prst="rect">
          <a:avLst/>
        </a:prstGeom>
        <a:noFill/>
      </xdr:spPr>
      <xdr:txBody>
        <a:bodyPr wrap="square" tIns="10800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400" b="1">
              <a:solidFill>
                <a:schemeClr val="bg1"/>
              </a:solidFill>
              <a:latin typeface="メイリオ" pitchFamily="50" charset="-128"/>
              <a:ea typeface="メイリオ" pitchFamily="50" charset="-128"/>
              <a:cs typeface="メイリオ" pitchFamily="50" charset="-128"/>
            </a:rPr>
            <a:t>省エネ改修効果診断書（テナント専用部）</a:t>
          </a:r>
        </a:p>
      </xdr:txBody>
    </xdr:sp>
    <xdr:clientData/>
  </xdr:twoCellAnchor>
  <xdr:twoCellAnchor>
    <xdr:from>
      <xdr:col>0</xdr:col>
      <xdr:colOff>86088</xdr:colOff>
      <xdr:row>159</xdr:row>
      <xdr:rowOff>141316</xdr:rowOff>
    </xdr:from>
    <xdr:to>
      <xdr:col>0</xdr:col>
      <xdr:colOff>86088</xdr:colOff>
      <xdr:row>159</xdr:row>
      <xdr:rowOff>141316</xdr:rowOff>
    </xdr:to>
    <xdr:cxnSp macro="">
      <xdr:nvCxnSpPr>
        <xdr:cNvPr id="521" name="直線コネクタ 520"/>
        <xdr:cNvCxnSpPr/>
      </xdr:nvCxnSpPr>
      <xdr:spPr>
        <a:xfrm>
          <a:off x="86088" y="31554766"/>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70121</xdr:colOff>
      <xdr:row>168</xdr:row>
      <xdr:rowOff>127099</xdr:rowOff>
    </xdr:from>
    <xdr:to>
      <xdr:col>19</xdr:col>
      <xdr:colOff>57150</xdr:colOff>
      <xdr:row>171</xdr:row>
      <xdr:rowOff>42235</xdr:rowOff>
    </xdr:to>
    <xdr:sp macro="" textlink="">
      <xdr:nvSpPr>
        <xdr:cNvPr id="522" name="テキスト ボックス 255"/>
        <xdr:cNvSpPr txBox="1"/>
      </xdr:nvSpPr>
      <xdr:spPr>
        <a:xfrm>
          <a:off x="5232671" y="33626524"/>
          <a:ext cx="2101579" cy="391386"/>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650" b="1">
              <a:solidFill>
                <a:schemeClr val="bg1"/>
              </a:solidFill>
              <a:latin typeface="メイリオ" pitchFamily="50" charset="-128"/>
              <a:ea typeface="メイリオ" pitchFamily="50" charset="-128"/>
              <a:cs typeface="メイリオ" pitchFamily="50" charset="-128"/>
            </a:rPr>
            <a:t>TOKYO METROPOLITAN GOVERNMENT          </a:t>
          </a:r>
          <a:endParaRPr kumimoji="1" lang="ja-JP" altLang="en-US" sz="650" b="1">
            <a:solidFill>
              <a:schemeClr val="bg1"/>
            </a:solidFill>
            <a:latin typeface="メイリオ" pitchFamily="50" charset="-128"/>
            <a:ea typeface="メイリオ" pitchFamily="50" charset="-128"/>
            <a:cs typeface="メイリオ" pitchFamily="50" charset="-128"/>
          </a:endParaRPr>
        </a:p>
      </xdr:txBody>
    </xdr:sp>
    <xdr:clientData/>
  </xdr:twoCellAnchor>
  <xdr:twoCellAnchor>
    <xdr:from>
      <xdr:col>18</xdr:col>
      <xdr:colOff>190500</xdr:colOff>
      <xdr:row>170</xdr:row>
      <xdr:rowOff>30277</xdr:rowOff>
    </xdr:from>
    <xdr:to>
      <xdr:col>19</xdr:col>
      <xdr:colOff>138546</xdr:colOff>
      <xdr:row>171</xdr:row>
      <xdr:rowOff>103909</xdr:rowOff>
    </xdr:to>
    <xdr:sp macro="" textlink="">
      <xdr:nvSpPr>
        <xdr:cNvPr id="527" name="テキスト ボックス 505"/>
        <xdr:cNvSpPr txBox="1"/>
      </xdr:nvSpPr>
      <xdr:spPr>
        <a:xfrm>
          <a:off x="6819900" y="33815452"/>
          <a:ext cx="595746" cy="26413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600">
              <a:latin typeface="HG丸ｺﾞｼｯｸM-PRO" pitchFamily="50" charset="-128"/>
              <a:ea typeface="HG丸ｺﾞｼｯｸM-PRO" pitchFamily="50" charset="-128"/>
            </a:rPr>
            <a:t>ver.1.0</a:t>
          </a:r>
          <a:endParaRPr lang="ja-JP" altLang="en-US" sz="600">
            <a:latin typeface="HG丸ｺﾞｼｯｸM-PRO" pitchFamily="50" charset="-128"/>
            <a:ea typeface="HG丸ｺﾞｼｯｸM-PRO" pitchFamily="50" charset="-128"/>
          </a:endParaRPr>
        </a:p>
      </xdr:txBody>
    </xdr:sp>
    <xdr:clientData/>
  </xdr:twoCellAnchor>
  <xdr:twoCellAnchor>
    <xdr:from>
      <xdr:col>0</xdr:col>
      <xdr:colOff>0</xdr:colOff>
      <xdr:row>141</xdr:row>
      <xdr:rowOff>203931</xdr:rowOff>
    </xdr:from>
    <xdr:to>
      <xdr:col>2</xdr:col>
      <xdr:colOff>295060</xdr:colOff>
      <xdr:row>143</xdr:row>
      <xdr:rowOff>49696</xdr:rowOff>
    </xdr:to>
    <xdr:sp macro="" textlink="">
      <xdr:nvSpPr>
        <xdr:cNvPr id="530" name="テキスト ボックス 322"/>
        <xdr:cNvSpPr txBox="1"/>
      </xdr:nvSpPr>
      <xdr:spPr>
        <a:xfrm>
          <a:off x="0" y="25902381"/>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19896</xdr:colOff>
      <xdr:row>149</xdr:row>
      <xdr:rowOff>45399</xdr:rowOff>
    </xdr:from>
    <xdr:to>
      <xdr:col>9</xdr:col>
      <xdr:colOff>115665</xdr:colOff>
      <xdr:row>150</xdr:row>
      <xdr:rowOff>53595</xdr:rowOff>
    </xdr:to>
    <xdr:sp macro="" textlink="">
      <xdr:nvSpPr>
        <xdr:cNvPr id="569" name="正方形/長方形 568"/>
        <xdr:cNvSpPr/>
      </xdr:nvSpPr>
      <xdr:spPr>
        <a:xfrm>
          <a:off x="19896" y="28258449"/>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148</xdr:row>
      <xdr:rowOff>215137</xdr:rowOff>
    </xdr:from>
    <xdr:to>
      <xdr:col>2</xdr:col>
      <xdr:colOff>295060</xdr:colOff>
      <xdr:row>150</xdr:row>
      <xdr:rowOff>60902</xdr:rowOff>
    </xdr:to>
    <xdr:sp macro="" textlink="">
      <xdr:nvSpPr>
        <xdr:cNvPr id="572" name="テキスト ボックス 322"/>
        <xdr:cNvSpPr txBox="1"/>
      </xdr:nvSpPr>
      <xdr:spPr>
        <a:xfrm>
          <a:off x="0" y="28199587"/>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19896</xdr:colOff>
      <xdr:row>156</xdr:row>
      <xdr:rowOff>34193</xdr:rowOff>
    </xdr:from>
    <xdr:to>
      <xdr:col>9</xdr:col>
      <xdr:colOff>115665</xdr:colOff>
      <xdr:row>157</xdr:row>
      <xdr:rowOff>42389</xdr:rowOff>
    </xdr:to>
    <xdr:sp macro="" textlink="">
      <xdr:nvSpPr>
        <xdr:cNvPr id="603" name="正方形/長方形 602"/>
        <xdr:cNvSpPr/>
      </xdr:nvSpPr>
      <xdr:spPr>
        <a:xfrm>
          <a:off x="19896" y="30533243"/>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155</xdr:row>
      <xdr:rowOff>203931</xdr:rowOff>
    </xdr:from>
    <xdr:to>
      <xdr:col>2</xdr:col>
      <xdr:colOff>295060</xdr:colOff>
      <xdr:row>157</xdr:row>
      <xdr:rowOff>49696</xdr:rowOff>
    </xdr:to>
    <xdr:sp macro="" textlink="">
      <xdr:nvSpPr>
        <xdr:cNvPr id="606" name="テキスト ボックス 322"/>
        <xdr:cNvSpPr txBox="1"/>
      </xdr:nvSpPr>
      <xdr:spPr>
        <a:xfrm>
          <a:off x="0" y="30474381"/>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18</xdr:col>
      <xdr:colOff>190500</xdr:colOff>
      <xdr:row>170</xdr:row>
      <xdr:rowOff>30277</xdr:rowOff>
    </xdr:from>
    <xdr:to>
      <xdr:col>19</xdr:col>
      <xdr:colOff>138546</xdr:colOff>
      <xdr:row>171</xdr:row>
      <xdr:rowOff>103909</xdr:rowOff>
    </xdr:to>
    <xdr:sp macro="" textlink="">
      <xdr:nvSpPr>
        <xdr:cNvPr id="697" name="テキスト ボックス 505"/>
        <xdr:cNvSpPr txBox="1"/>
      </xdr:nvSpPr>
      <xdr:spPr>
        <a:xfrm>
          <a:off x="6819900" y="33815452"/>
          <a:ext cx="595746" cy="26413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600">
              <a:latin typeface="HG丸ｺﾞｼｯｸM-PRO" pitchFamily="50" charset="-128"/>
              <a:ea typeface="HG丸ｺﾞｼｯｸM-PRO" pitchFamily="50" charset="-128"/>
            </a:rPr>
            <a:t>ver.1.0</a:t>
          </a:r>
          <a:endParaRPr lang="ja-JP" altLang="en-US" sz="600">
            <a:latin typeface="HG丸ｺﾞｼｯｸM-PRO" pitchFamily="50" charset="-128"/>
            <a:ea typeface="HG丸ｺﾞｼｯｸM-PRO" pitchFamily="50" charset="-128"/>
          </a:endParaRPr>
        </a:p>
      </xdr:txBody>
    </xdr:sp>
    <xdr:clientData/>
  </xdr:twoCellAnchor>
  <xdr:twoCellAnchor>
    <xdr:from>
      <xdr:col>18</xdr:col>
      <xdr:colOff>190500</xdr:colOff>
      <xdr:row>170</xdr:row>
      <xdr:rowOff>30277</xdr:rowOff>
    </xdr:from>
    <xdr:to>
      <xdr:col>19</xdr:col>
      <xdr:colOff>138546</xdr:colOff>
      <xdr:row>171</xdr:row>
      <xdr:rowOff>103909</xdr:rowOff>
    </xdr:to>
    <xdr:sp macro="" textlink="">
      <xdr:nvSpPr>
        <xdr:cNvPr id="698" name="テキスト ボックス 505"/>
        <xdr:cNvSpPr txBox="1"/>
      </xdr:nvSpPr>
      <xdr:spPr>
        <a:xfrm>
          <a:off x="6819900" y="33815452"/>
          <a:ext cx="595746" cy="26413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600">
              <a:latin typeface="HG丸ｺﾞｼｯｸM-PRO" pitchFamily="50" charset="-128"/>
              <a:ea typeface="HG丸ｺﾞｼｯｸM-PRO" pitchFamily="50" charset="-128"/>
            </a:rPr>
            <a:t>ver.1.0</a:t>
          </a:r>
          <a:endParaRPr lang="ja-JP" altLang="en-US" sz="600">
            <a:latin typeface="HG丸ｺﾞｼｯｸM-PRO" pitchFamily="50" charset="-128"/>
            <a:ea typeface="HG丸ｺﾞｼｯｸM-PRO" pitchFamily="50" charset="-128"/>
          </a:endParaRPr>
        </a:p>
      </xdr:txBody>
    </xdr:sp>
    <xdr:clientData/>
  </xdr:twoCellAnchor>
  <xdr:twoCellAnchor>
    <xdr:from>
      <xdr:col>0</xdr:col>
      <xdr:colOff>17899</xdr:colOff>
      <xdr:row>211</xdr:row>
      <xdr:rowOff>33697</xdr:rowOff>
    </xdr:from>
    <xdr:to>
      <xdr:col>18</xdr:col>
      <xdr:colOff>649061</xdr:colOff>
      <xdr:row>212</xdr:row>
      <xdr:rowOff>73268</xdr:rowOff>
    </xdr:to>
    <xdr:sp macro="" textlink="">
      <xdr:nvSpPr>
        <xdr:cNvPr id="699" name="正方形/長方形 698"/>
        <xdr:cNvSpPr/>
      </xdr:nvSpPr>
      <xdr:spPr>
        <a:xfrm flipV="1">
          <a:off x="17899" y="44801197"/>
          <a:ext cx="7260562" cy="182446"/>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0</xdr:col>
      <xdr:colOff>19896</xdr:colOff>
      <xdr:row>184</xdr:row>
      <xdr:rowOff>34193</xdr:rowOff>
    </xdr:from>
    <xdr:to>
      <xdr:col>9</xdr:col>
      <xdr:colOff>115665</xdr:colOff>
      <xdr:row>185</xdr:row>
      <xdr:rowOff>42389</xdr:rowOff>
    </xdr:to>
    <xdr:sp macro="" textlink="">
      <xdr:nvSpPr>
        <xdr:cNvPr id="700" name="正方形/長方形 699"/>
        <xdr:cNvSpPr/>
      </xdr:nvSpPr>
      <xdr:spPr>
        <a:xfrm>
          <a:off x="19896" y="37086443"/>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29840</xdr:colOff>
      <xdr:row>171</xdr:row>
      <xdr:rowOff>16857</xdr:rowOff>
    </xdr:from>
    <xdr:to>
      <xdr:col>19</xdr:col>
      <xdr:colOff>27214</xdr:colOff>
      <xdr:row>172</xdr:row>
      <xdr:rowOff>18944</xdr:rowOff>
    </xdr:to>
    <xdr:sp macro="" textlink="">
      <xdr:nvSpPr>
        <xdr:cNvPr id="701" name="正方形/長方形 700"/>
        <xdr:cNvSpPr/>
      </xdr:nvSpPr>
      <xdr:spPr>
        <a:xfrm>
          <a:off x="29840" y="33992532"/>
          <a:ext cx="7274474" cy="678362"/>
        </a:xfrm>
        <a:prstGeom prst="rect">
          <a:avLst/>
        </a:prstGeom>
        <a:gradFill>
          <a:gsLst>
            <a:gs pos="0">
              <a:srgbClr val="00B050"/>
            </a:gs>
            <a:gs pos="100000">
              <a:srgbClr val="92D050">
                <a:alpha val="97000"/>
              </a:srgb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19896</xdr:colOff>
      <xdr:row>174</xdr:row>
      <xdr:rowOff>28025</xdr:rowOff>
    </xdr:from>
    <xdr:to>
      <xdr:col>10</xdr:col>
      <xdr:colOff>4243</xdr:colOff>
      <xdr:row>175</xdr:row>
      <xdr:rowOff>36222</xdr:rowOff>
    </xdr:to>
    <xdr:sp macro="" textlink="">
      <xdr:nvSpPr>
        <xdr:cNvPr id="705" name="正方形/長方形 704"/>
        <xdr:cNvSpPr/>
      </xdr:nvSpPr>
      <xdr:spPr>
        <a:xfrm>
          <a:off x="19896" y="34794275"/>
          <a:ext cx="4242022" cy="322522"/>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173</xdr:row>
      <xdr:rowOff>35842</xdr:rowOff>
    </xdr:from>
    <xdr:to>
      <xdr:col>2</xdr:col>
      <xdr:colOff>295060</xdr:colOff>
      <xdr:row>175</xdr:row>
      <xdr:rowOff>49695</xdr:rowOff>
    </xdr:to>
    <xdr:sp macro="" textlink="">
      <xdr:nvSpPr>
        <xdr:cNvPr id="706" name="テキスト ボックス 322"/>
        <xdr:cNvSpPr txBox="1"/>
      </xdr:nvSpPr>
      <xdr:spPr>
        <a:xfrm>
          <a:off x="0" y="34744942"/>
          <a:ext cx="1828585" cy="385328"/>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13607</xdr:colOff>
      <xdr:row>170</xdr:row>
      <xdr:rowOff>139321</xdr:rowOff>
    </xdr:from>
    <xdr:to>
      <xdr:col>19</xdr:col>
      <xdr:colOff>0</xdr:colOff>
      <xdr:row>172</xdr:row>
      <xdr:rowOff>40283</xdr:rowOff>
    </xdr:to>
    <xdr:sp macro="" textlink="">
      <xdr:nvSpPr>
        <xdr:cNvPr id="707" name="テキスト ボックス 445"/>
        <xdr:cNvSpPr txBox="1"/>
      </xdr:nvSpPr>
      <xdr:spPr>
        <a:xfrm>
          <a:off x="13607" y="33924496"/>
          <a:ext cx="7263493" cy="767737"/>
        </a:xfrm>
        <a:prstGeom prst="rect">
          <a:avLst/>
        </a:prstGeom>
        <a:noFill/>
      </xdr:spPr>
      <xdr:txBody>
        <a:bodyPr wrap="square" tIns="108000"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400" b="1">
              <a:solidFill>
                <a:schemeClr val="bg1"/>
              </a:solidFill>
              <a:latin typeface="メイリオ" pitchFamily="50" charset="-128"/>
              <a:ea typeface="メイリオ" pitchFamily="50" charset="-128"/>
              <a:cs typeface="メイリオ" pitchFamily="50" charset="-128"/>
            </a:rPr>
            <a:t>省エネ改修効果診断書（テナント専用部）</a:t>
          </a:r>
        </a:p>
      </xdr:txBody>
    </xdr:sp>
    <xdr:clientData/>
  </xdr:twoCellAnchor>
  <xdr:twoCellAnchor>
    <xdr:from>
      <xdr:col>0</xdr:col>
      <xdr:colOff>86088</xdr:colOff>
      <xdr:row>201</xdr:row>
      <xdr:rowOff>141316</xdr:rowOff>
    </xdr:from>
    <xdr:to>
      <xdr:col>0</xdr:col>
      <xdr:colOff>86088</xdr:colOff>
      <xdr:row>201</xdr:row>
      <xdr:rowOff>141316</xdr:rowOff>
    </xdr:to>
    <xdr:cxnSp macro="">
      <xdr:nvCxnSpPr>
        <xdr:cNvPr id="725" name="直線コネクタ 724"/>
        <xdr:cNvCxnSpPr/>
      </xdr:nvCxnSpPr>
      <xdr:spPr>
        <a:xfrm>
          <a:off x="86088" y="42679966"/>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70121</xdr:colOff>
      <xdr:row>210</xdr:row>
      <xdr:rowOff>127099</xdr:rowOff>
    </xdr:from>
    <xdr:to>
      <xdr:col>19</xdr:col>
      <xdr:colOff>57150</xdr:colOff>
      <xdr:row>213</xdr:row>
      <xdr:rowOff>42235</xdr:rowOff>
    </xdr:to>
    <xdr:sp macro="" textlink="">
      <xdr:nvSpPr>
        <xdr:cNvPr id="726" name="テキスト ボックス 255"/>
        <xdr:cNvSpPr txBox="1"/>
      </xdr:nvSpPr>
      <xdr:spPr>
        <a:xfrm>
          <a:off x="5232671" y="44751724"/>
          <a:ext cx="2101579" cy="391386"/>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650" b="1">
              <a:solidFill>
                <a:schemeClr val="bg1"/>
              </a:solidFill>
              <a:latin typeface="メイリオ" pitchFamily="50" charset="-128"/>
              <a:ea typeface="メイリオ" pitchFamily="50" charset="-128"/>
              <a:cs typeface="メイリオ" pitchFamily="50" charset="-128"/>
            </a:rPr>
            <a:t>TOKYO METROPOLITAN GOVERNMENT          </a:t>
          </a:r>
          <a:endParaRPr kumimoji="1" lang="ja-JP" altLang="en-US" sz="650" b="1">
            <a:solidFill>
              <a:schemeClr val="bg1"/>
            </a:solidFill>
            <a:latin typeface="メイリオ" pitchFamily="50" charset="-128"/>
            <a:ea typeface="メイリオ" pitchFamily="50" charset="-128"/>
            <a:cs typeface="メイリオ" pitchFamily="50" charset="-128"/>
          </a:endParaRPr>
        </a:p>
      </xdr:txBody>
    </xdr:sp>
    <xdr:clientData/>
  </xdr:twoCellAnchor>
  <xdr:twoCellAnchor>
    <xdr:from>
      <xdr:col>18</xdr:col>
      <xdr:colOff>190500</xdr:colOff>
      <xdr:row>212</xdr:row>
      <xdr:rowOff>30277</xdr:rowOff>
    </xdr:from>
    <xdr:to>
      <xdr:col>19</xdr:col>
      <xdr:colOff>138546</xdr:colOff>
      <xdr:row>213</xdr:row>
      <xdr:rowOff>103909</xdr:rowOff>
    </xdr:to>
    <xdr:sp macro="" textlink="">
      <xdr:nvSpPr>
        <xdr:cNvPr id="731" name="テキスト ボックス 505"/>
        <xdr:cNvSpPr txBox="1"/>
      </xdr:nvSpPr>
      <xdr:spPr>
        <a:xfrm>
          <a:off x="6819900" y="44940652"/>
          <a:ext cx="595746" cy="26413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600">
              <a:latin typeface="HG丸ｺﾞｼｯｸM-PRO" pitchFamily="50" charset="-128"/>
              <a:ea typeface="HG丸ｺﾞｼｯｸM-PRO" pitchFamily="50" charset="-128"/>
            </a:rPr>
            <a:t>ver.1.0</a:t>
          </a:r>
          <a:endParaRPr lang="ja-JP" altLang="en-US" sz="600">
            <a:latin typeface="HG丸ｺﾞｼｯｸM-PRO" pitchFamily="50" charset="-128"/>
            <a:ea typeface="HG丸ｺﾞｼｯｸM-PRO" pitchFamily="50" charset="-128"/>
          </a:endParaRPr>
        </a:p>
      </xdr:txBody>
    </xdr:sp>
    <xdr:clientData/>
  </xdr:twoCellAnchor>
  <xdr:twoCellAnchor>
    <xdr:from>
      <xdr:col>0</xdr:col>
      <xdr:colOff>0</xdr:colOff>
      <xdr:row>183</xdr:row>
      <xdr:rowOff>203931</xdr:rowOff>
    </xdr:from>
    <xdr:to>
      <xdr:col>2</xdr:col>
      <xdr:colOff>295060</xdr:colOff>
      <xdr:row>185</xdr:row>
      <xdr:rowOff>49696</xdr:rowOff>
    </xdr:to>
    <xdr:sp macro="" textlink="">
      <xdr:nvSpPr>
        <xdr:cNvPr id="734" name="テキスト ボックス 322"/>
        <xdr:cNvSpPr txBox="1"/>
      </xdr:nvSpPr>
      <xdr:spPr>
        <a:xfrm>
          <a:off x="0" y="37027581"/>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19896</xdr:colOff>
      <xdr:row>191</xdr:row>
      <xdr:rowOff>45399</xdr:rowOff>
    </xdr:from>
    <xdr:to>
      <xdr:col>9</xdr:col>
      <xdr:colOff>115665</xdr:colOff>
      <xdr:row>192</xdr:row>
      <xdr:rowOff>53595</xdr:rowOff>
    </xdr:to>
    <xdr:sp macro="" textlink="">
      <xdr:nvSpPr>
        <xdr:cNvPr id="764" name="正方形/長方形 763"/>
        <xdr:cNvSpPr/>
      </xdr:nvSpPr>
      <xdr:spPr>
        <a:xfrm>
          <a:off x="19896" y="39383649"/>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190</xdr:row>
      <xdr:rowOff>215137</xdr:rowOff>
    </xdr:from>
    <xdr:to>
      <xdr:col>2</xdr:col>
      <xdr:colOff>295060</xdr:colOff>
      <xdr:row>192</xdr:row>
      <xdr:rowOff>60902</xdr:rowOff>
    </xdr:to>
    <xdr:sp macro="" textlink="">
      <xdr:nvSpPr>
        <xdr:cNvPr id="767" name="テキスト ボックス 322"/>
        <xdr:cNvSpPr txBox="1"/>
      </xdr:nvSpPr>
      <xdr:spPr>
        <a:xfrm>
          <a:off x="0" y="39324787"/>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0</xdr:col>
      <xdr:colOff>19896</xdr:colOff>
      <xdr:row>198</xdr:row>
      <xdr:rowOff>34193</xdr:rowOff>
    </xdr:from>
    <xdr:to>
      <xdr:col>9</xdr:col>
      <xdr:colOff>115665</xdr:colOff>
      <xdr:row>199</xdr:row>
      <xdr:rowOff>42389</xdr:rowOff>
    </xdr:to>
    <xdr:sp macro="" textlink="">
      <xdr:nvSpPr>
        <xdr:cNvPr id="789" name="正方形/長方形 788"/>
        <xdr:cNvSpPr/>
      </xdr:nvSpPr>
      <xdr:spPr>
        <a:xfrm>
          <a:off x="19896" y="41658443"/>
          <a:ext cx="4229619"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0</xdr:colOff>
      <xdr:row>197</xdr:row>
      <xdr:rowOff>203931</xdr:rowOff>
    </xdr:from>
    <xdr:to>
      <xdr:col>2</xdr:col>
      <xdr:colOff>295060</xdr:colOff>
      <xdr:row>199</xdr:row>
      <xdr:rowOff>49696</xdr:rowOff>
    </xdr:to>
    <xdr:sp macro="" textlink="">
      <xdr:nvSpPr>
        <xdr:cNvPr id="792" name="テキスト ボックス 322"/>
        <xdr:cNvSpPr txBox="1"/>
      </xdr:nvSpPr>
      <xdr:spPr>
        <a:xfrm>
          <a:off x="0" y="41599581"/>
          <a:ext cx="1828585" cy="388690"/>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貸室概要</a:t>
          </a:r>
        </a:p>
      </xdr:txBody>
    </xdr:sp>
    <xdr:clientData/>
  </xdr:twoCellAnchor>
  <xdr:twoCellAnchor>
    <xdr:from>
      <xdr:col>10</xdr:col>
      <xdr:colOff>76092</xdr:colOff>
      <xdr:row>58</xdr:row>
      <xdr:rowOff>34750</xdr:rowOff>
    </xdr:from>
    <xdr:to>
      <xdr:col>19</xdr:col>
      <xdr:colOff>0</xdr:colOff>
      <xdr:row>59</xdr:row>
      <xdr:rowOff>42946</xdr:rowOff>
    </xdr:to>
    <xdr:sp macro="" textlink="">
      <xdr:nvSpPr>
        <xdr:cNvPr id="724" name="正方形/長方形 723"/>
        <xdr:cNvSpPr/>
      </xdr:nvSpPr>
      <xdr:spPr>
        <a:xfrm>
          <a:off x="4348735" y="15029821"/>
          <a:ext cx="2958301" cy="32116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4666</xdr:colOff>
      <xdr:row>48</xdr:row>
      <xdr:rowOff>28025</xdr:rowOff>
    </xdr:from>
    <xdr:to>
      <xdr:col>19</xdr:col>
      <xdr:colOff>0</xdr:colOff>
      <xdr:row>49</xdr:row>
      <xdr:rowOff>36222</xdr:rowOff>
    </xdr:to>
    <xdr:sp macro="" textlink="">
      <xdr:nvSpPr>
        <xdr:cNvPr id="756" name="正方形/長方形 755"/>
        <xdr:cNvSpPr/>
      </xdr:nvSpPr>
      <xdr:spPr>
        <a:xfrm>
          <a:off x="4358952" y="12709882"/>
          <a:ext cx="2948084" cy="32116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47</xdr:row>
      <xdr:rowOff>31547</xdr:rowOff>
    </xdr:from>
    <xdr:to>
      <xdr:col>14</xdr:col>
      <xdr:colOff>278720</xdr:colOff>
      <xdr:row>49</xdr:row>
      <xdr:rowOff>8283</xdr:rowOff>
    </xdr:to>
    <xdr:sp macro="" textlink="">
      <xdr:nvSpPr>
        <xdr:cNvPr id="757" name="テキスト ボックス 132"/>
        <xdr:cNvSpPr txBox="1"/>
      </xdr:nvSpPr>
      <xdr:spPr>
        <a:xfrm>
          <a:off x="4349838" y="12658976"/>
          <a:ext cx="1099596" cy="344128"/>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50</xdr:row>
      <xdr:rowOff>8843</xdr:rowOff>
    </xdr:from>
    <xdr:to>
      <xdr:col>15</xdr:col>
      <xdr:colOff>244710</xdr:colOff>
      <xdr:row>55</xdr:row>
      <xdr:rowOff>197843</xdr:rowOff>
    </xdr:to>
    <xdr:grpSp>
      <xdr:nvGrpSpPr>
        <xdr:cNvPr id="758" name="グループ化 757"/>
        <xdr:cNvGrpSpPr/>
      </xdr:nvGrpSpPr>
      <xdr:grpSpPr>
        <a:xfrm>
          <a:off x="4436652" y="12962843"/>
          <a:ext cx="1321352" cy="1309588"/>
          <a:chOff x="328402" y="476640"/>
          <a:chExt cx="1296144" cy="1296144"/>
        </a:xfrm>
      </xdr:grpSpPr>
      <xdr:sp macro="" textlink="">
        <xdr:nvSpPr>
          <xdr:cNvPr id="759" name="角丸四角形 758"/>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760" name="グループ化 759"/>
          <xdr:cNvGrpSpPr/>
        </xdr:nvGrpSpPr>
        <xdr:grpSpPr>
          <a:xfrm>
            <a:off x="842964" y="671512"/>
            <a:ext cx="545307" cy="641538"/>
            <a:chOff x="3162860" y="6191931"/>
            <a:chExt cx="396350" cy="466295"/>
          </a:xfrm>
        </xdr:grpSpPr>
        <xdr:sp macro="" textlink="">
          <xdr:nvSpPr>
            <xdr:cNvPr id="761" name="台形 760"/>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762" name="台形 761"/>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763" name="直線コネクタ 762"/>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14" name="直線コネクタ 813"/>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15" name="直線コネクタ 814"/>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16" name="直線コネクタ 815"/>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17" name="直線コネクタ 816"/>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18" name="直線コネクタ 817"/>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19" name="直線コネクタ 818"/>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820" name="グループ化 819"/>
            <xdr:cNvGrpSpPr/>
          </xdr:nvGrpSpPr>
          <xdr:grpSpPr>
            <a:xfrm rot="5400000">
              <a:off x="3220358" y="6373338"/>
              <a:ext cx="274658" cy="295117"/>
              <a:chOff x="1100474" y="8541778"/>
              <a:chExt cx="354609" cy="381026"/>
            </a:xfrm>
          </xdr:grpSpPr>
          <xdr:cxnSp macro="">
            <xdr:nvCxnSpPr>
              <xdr:cNvPr id="821" name="曲線コネクタ 820"/>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822" name="曲線コネクタ 821"/>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823" name="曲線コネクタ 822"/>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50</xdr:row>
      <xdr:rowOff>8843</xdr:rowOff>
    </xdr:from>
    <xdr:to>
      <xdr:col>18</xdr:col>
      <xdr:colOff>610062</xdr:colOff>
      <xdr:row>55</xdr:row>
      <xdr:rowOff>197843</xdr:rowOff>
    </xdr:to>
    <xdr:sp macro="" textlink="">
      <xdr:nvSpPr>
        <xdr:cNvPr id="824" name="角丸四角形 823"/>
        <xdr:cNvSpPr/>
      </xdr:nvSpPr>
      <xdr:spPr>
        <a:xfrm>
          <a:off x="5942294" y="13153343"/>
          <a:ext cx="1321661" cy="1345607"/>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10</xdr:col>
      <xdr:colOff>77195</xdr:colOff>
      <xdr:row>57</xdr:row>
      <xdr:rowOff>199636</xdr:rowOff>
    </xdr:from>
    <xdr:to>
      <xdr:col>14</xdr:col>
      <xdr:colOff>278720</xdr:colOff>
      <xdr:row>59</xdr:row>
      <xdr:rowOff>8284</xdr:rowOff>
    </xdr:to>
    <xdr:sp macro="" textlink="">
      <xdr:nvSpPr>
        <xdr:cNvPr id="830" name="テキスト ボックス 132"/>
        <xdr:cNvSpPr txBox="1"/>
      </xdr:nvSpPr>
      <xdr:spPr>
        <a:xfrm>
          <a:off x="4349838" y="14963386"/>
          <a:ext cx="1099596" cy="352934"/>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60</xdr:row>
      <xdr:rowOff>8843</xdr:rowOff>
    </xdr:from>
    <xdr:to>
      <xdr:col>15</xdr:col>
      <xdr:colOff>244710</xdr:colOff>
      <xdr:row>62</xdr:row>
      <xdr:rowOff>399548</xdr:rowOff>
    </xdr:to>
    <xdr:grpSp>
      <xdr:nvGrpSpPr>
        <xdr:cNvPr id="831" name="グループ化 830"/>
        <xdr:cNvGrpSpPr/>
      </xdr:nvGrpSpPr>
      <xdr:grpSpPr>
        <a:xfrm>
          <a:off x="4436652" y="15215225"/>
          <a:ext cx="1321352" cy="1309588"/>
          <a:chOff x="328402" y="476640"/>
          <a:chExt cx="1296144" cy="1296144"/>
        </a:xfrm>
      </xdr:grpSpPr>
      <xdr:sp macro="" textlink="">
        <xdr:nvSpPr>
          <xdr:cNvPr id="832" name="角丸四角形 831"/>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833" name="グループ化 832"/>
          <xdr:cNvGrpSpPr/>
        </xdr:nvGrpSpPr>
        <xdr:grpSpPr>
          <a:xfrm>
            <a:off x="842964" y="671512"/>
            <a:ext cx="545307" cy="641538"/>
            <a:chOff x="3162860" y="6191931"/>
            <a:chExt cx="396350" cy="466295"/>
          </a:xfrm>
        </xdr:grpSpPr>
        <xdr:sp macro="" textlink="">
          <xdr:nvSpPr>
            <xdr:cNvPr id="834" name="台形 833"/>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35" name="台形 834"/>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836" name="直線コネクタ 835"/>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37" name="直線コネクタ 836"/>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38" name="直線コネクタ 837"/>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39" name="直線コネクタ 838"/>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40" name="直線コネクタ 839"/>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41" name="直線コネクタ 840"/>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842" name="直線コネクタ 841"/>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843" name="グループ化 842"/>
            <xdr:cNvGrpSpPr/>
          </xdr:nvGrpSpPr>
          <xdr:grpSpPr>
            <a:xfrm rot="5400000">
              <a:off x="3220358" y="6373338"/>
              <a:ext cx="274658" cy="295117"/>
              <a:chOff x="1100474" y="8541778"/>
              <a:chExt cx="354609" cy="381026"/>
            </a:xfrm>
          </xdr:grpSpPr>
          <xdr:cxnSp macro="">
            <xdr:nvCxnSpPr>
              <xdr:cNvPr id="844" name="曲線コネクタ 843"/>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845" name="曲線コネクタ 844"/>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846" name="曲線コネクタ 845"/>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59</xdr:row>
      <xdr:rowOff>143313</xdr:rowOff>
    </xdr:from>
    <xdr:to>
      <xdr:col>18</xdr:col>
      <xdr:colOff>610062</xdr:colOff>
      <xdr:row>62</xdr:row>
      <xdr:rowOff>388342</xdr:rowOff>
    </xdr:to>
    <xdr:sp macro="" textlink="">
      <xdr:nvSpPr>
        <xdr:cNvPr id="849" name="角丸四角形 848"/>
        <xdr:cNvSpPr/>
      </xdr:nvSpPr>
      <xdr:spPr>
        <a:xfrm>
          <a:off x="5942294" y="15451349"/>
          <a:ext cx="1321661" cy="1319993"/>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50</xdr:row>
      <xdr:rowOff>205799</xdr:rowOff>
    </xdr:from>
    <xdr:to>
      <xdr:col>18</xdr:col>
      <xdr:colOff>498381</xdr:colOff>
      <xdr:row>53</xdr:row>
      <xdr:rowOff>25813</xdr:rowOff>
    </xdr:to>
    <xdr:grpSp>
      <xdr:nvGrpSpPr>
        <xdr:cNvPr id="853" name="グループ化 852"/>
        <xdr:cNvGrpSpPr/>
      </xdr:nvGrpSpPr>
      <xdr:grpSpPr>
        <a:xfrm>
          <a:off x="6404278" y="13159799"/>
          <a:ext cx="739191" cy="492367"/>
          <a:chOff x="15865410" y="6040532"/>
          <a:chExt cx="531149" cy="361912"/>
        </a:xfrm>
      </xdr:grpSpPr>
      <xdr:sp macro="" textlink="">
        <xdr:nvSpPr>
          <xdr:cNvPr id="854" name="台形 853"/>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55" name="台形 854"/>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56" name="台形 855"/>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57" name="台形 856"/>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858" name="直線コネクタ 857"/>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859" name="直線矢印コネクタ 858"/>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860" name="直線コネクタ 859"/>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128984</xdr:colOff>
      <xdr:row>60</xdr:row>
      <xdr:rowOff>194593</xdr:rowOff>
    </xdr:from>
    <xdr:to>
      <xdr:col>18</xdr:col>
      <xdr:colOff>498381</xdr:colOff>
      <xdr:row>61</xdr:row>
      <xdr:rowOff>227518</xdr:rowOff>
    </xdr:to>
    <xdr:grpSp>
      <xdr:nvGrpSpPr>
        <xdr:cNvPr id="861" name="グループ化 860"/>
        <xdr:cNvGrpSpPr/>
      </xdr:nvGrpSpPr>
      <xdr:grpSpPr>
        <a:xfrm>
          <a:off x="6404278" y="15400975"/>
          <a:ext cx="739191" cy="492367"/>
          <a:chOff x="15865410" y="6040532"/>
          <a:chExt cx="531149" cy="361912"/>
        </a:xfrm>
      </xdr:grpSpPr>
      <xdr:sp macro="" textlink="">
        <xdr:nvSpPr>
          <xdr:cNvPr id="862" name="台形 861"/>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63" name="台形 862"/>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64" name="台形 863"/>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865" name="台形 864"/>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866" name="直線コネクタ 865"/>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876" name="直線矢印コネクタ 875"/>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886" name="直線コネクタ 885"/>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65</xdr:row>
      <xdr:rowOff>45956</xdr:rowOff>
    </xdr:from>
    <xdr:to>
      <xdr:col>19</xdr:col>
      <xdr:colOff>0</xdr:colOff>
      <xdr:row>66</xdr:row>
      <xdr:rowOff>54152</xdr:rowOff>
    </xdr:to>
    <xdr:sp macro="" textlink="">
      <xdr:nvSpPr>
        <xdr:cNvPr id="914" name="正方形/長方形 913"/>
        <xdr:cNvSpPr/>
      </xdr:nvSpPr>
      <xdr:spPr>
        <a:xfrm>
          <a:off x="4348735" y="17354242"/>
          <a:ext cx="2958301" cy="321160"/>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64</xdr:row>
      <xdr:rowOff>210842</xdr:rowOff>
    </xdr:from>
    <xdr:to>
      <xdr:col>14</xdr:col>
      <xdr:colOff>278720</xdr:colOff>
      <xdr:row>66</xdr:row>
      <xdr:rowOff>19490</xdr:rowOff>
    </xdr:to>
    <xdr:sp macro="" textlink="">
      <xdr:nvSpPr>
        <xdr:cNvPr id="1014" name="テキスト ボックス 132"/>
        <xdr:cNvSpPr txBox="1"/>
      </xdr:nvSpPr>
      <xdr:spPr>
        <a:xfrm>
          <a:off x="4349838" y="17287806"/>
          <a:ext cx="1099596" cy="352934"/>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66</xdr:row>
      <xdr:rowOff>143314</xdr:rowOff>
    </xdr:from>
    <xdr:to>
      <xdr:col>15</xdr:col>
      <xdr:colOff>244710</xdr:colOff>
      <xdr:row>69</xdr:row>
      <xdr:rowOff>388343</xdr:rowOff>
    </xdr:to>
    <xdr:grpSp>
      <xdr:nvGrpSpPr>
        <xdr:cNvPr id="1015" name="グループ化 1014"/>
        <xdr:cNvGrpSpPr/>
      </xdr:nvGrpSpPr>
      <xdr:grpSpPr>
        <a:xfrm>
          <a:off x="4436652" y="17490020"/>
          <a:ext cx="1321352" cy="1309588"/>
          <a:chOff x="328402" y="476640"/>
          <a:chExt cx="1296144" cy="1296144"/>
        </a:xfrm>
      </xdr:grpSpPr>
      <xdr:sp macro="" textlink="">
        <xdr:nvSpPr>
          <xdr:cNvPr id="1016" name="角丸四角形 1015"/>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017" name="グループ化 1016"/>
          <xdr:cNvGrpSpPr/>
        </xdr:nvGrpSpPr>
        <xdr:grpSpPr>
          <a:xfrm>
            <a:off x="842964" y="671512"/>
            <a:ext cx="545307" cy="641538"/>
            <a:chOff x="3162860" y="6191931"/>
            <a:chExt cx="396350" cy="466295"/>
          </a:xfrm>
        </xdr:grpSpPr>
        <xdr:sp macro="" textlink="">
          <xdr:nvSpPr>
            <xdr:cNvPr id="1018" name="台形 1017"/>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19" name="台形 1018"/>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020" name="直線コネクタ 1019"/>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21" name="直線コネクタ 1020"/>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22" name="直線コネクタ 1021"/>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23" name="直線コネクタ 1022"/>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24" name="直線コネクタ 1023"/>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25" name="直線コネクタ 1024"/>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26" name="直線コネクタ 1025"/>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027" name="グループ化 1026"/>
            <xdr:cNvGrpSpPr/>
          </xdr:nvGrpSpPr>
          <xdr:grpSpPr>
            <a:xfrm rot="5400000">
              <a:off x="3220358" y="6373338"/>
              <a:ext cx="274658" cy="295117"/>
              <a:chOff x="1100474" y="8541778"/>
              <a:chExt cx="354609" cy="381026"/>
            </a:xfrm>
          </xdr:grpSpPr>
          <xdr:cxnSp macro="">
            <xdr:nvCxnSpPr>
              <xdr:cNvPr id="1028" name="曲線コネクタ 1027"/>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29" name="曲線コネクタ 1028"/>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30" name="曲線コネクタ 1029"/>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66</xdr:row>
      <xdr:rowOff>143313</xdr:rowOff>
    </xdr:from>
    <xdr:to>
      <xdr:col>18</xdr:col>
      <xdr:colOff>610062</xdr:colOff>
      <xdr:row>69</xdr:row>
      <xdr:rowOff>388342</xdr:rowOff>
    </xdr:to>
    <xdr:sp macro="" textlink="">
      <xdr:nvSpPr>
        <xdr:cNvPr id="1033" name="角丸四角形 1032"/>
        <xdr:cNvSpPr/>
      </xdr:nvSpPr>
      <xdr:spPr>
        <a:xfrm>
          <a:off x="5942294" y="17764563"/>
          <a:ext cx="1321661" cy="1319993"/>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67</xdr:row>
      <xdr:rowOff>194593</xdr:rowOff>
    </xdr:from>
    <xdr:to>
      <xdr:col>18</xdr:col>
      <xdr:colOff>498381</xdr:colOff>
      <xdr:row>68</xdr:row>
      <xdr:rowOff>227518</xdr:rowOff>
    </xdr:to>
    <xdr:grpSp>
      <xdr:nvGrpSpPr>
        <xdr:cNvPr id="1037" name="グループ化 1036"/>
        <xdr:cNvGrpSpPr/>
      </xdr:nvGrpSpPr>
      <xdr:grpSpPr>
        <a:xfrm>
          <a:off x="6404278" y="17686975"/>
          <a:ext cx="739191" cy="492367"/>
          <a:chOff x="15865410" y="6040532"/>
          <a:chExt cx="531149" cy="361912"/>
        </a:xfrm>
      </xdr:grpSpPr>
      <xdr:sp macro="" textlink="">
        <xdr:nvSpPr>
          <xdr:cNvPr id="1038" name="台形 1037"/>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39" name="台形 1038"/>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40" name="台形 1039"/>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41" name="台形 1040"/>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042" name="直線コネクタ 1041"/>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43" name="直線矢印コネクタ 1042"/>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44" name="直線コネクタ 1043"/>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72</xdr:row>
      <xdr:rowOff>34750</xdr:rowOff>
    </xdr:from>
    <xdr:to>
      <xdr:col>19</xdr:col>
      <xdr:colOff>0</xdr:colOff>
      <xdr:row>73</xdr:row>
      <xdr:rowOff>42946</xdr:rowOff>
    </xdr:to>
    <xdr:sp macro="" textlink="">
      <xdr:nvSpPr>
        <xdr:cNvPr id="1045" name="正方形/長方形 1044"/>
        <xdr:cNvSpPr/>
      </xdr:nvSpPr>
      <xdr:spPr>
        <a:xfrm>
          <a:off x="4348735" y="19656250"/>
          <a:ext cx="2958301" cy="321160"/>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71</xdr:row>
      <xdr:rowOff>199636</xdr:rowOff>
    </xdr:from>
    <xdr:to>
      <xdr:col>14</xdr:col>
      <xdr:colOff>278720</xdr:colOff>
      <xdr:row>73</xdr:row>
      <xdr:rowOff>8284</xdr:rowOff>
    </xdr:to>
    <xdr:sp macro="" textlink="">
      <xdr:nvSpPr>
        <xdr:cNvPr id="1046" name="テキスト ボックス 132"/>
        <xdr:cNvSpPr txBox="1"/>
      </xdr:nvSpPr>
      <xdr:spPr>
        <a:xfrm>
          <a:off x="4349838" y="19589815"/>
          <a:ext cx="1099596" cy="352933"/>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73</xdr:row>
      <xdr:rowOff>143314</xdr:rowOff>
    </xdr:from>
    <xdr:to>
      <xdr:col>15</xdr:col>
      <xdr:colOff>244710</xdr:colOff>
      <xdr:row>76</xdr:row>
      <xdr:rowOff>388343</xdr:rowOff>
    </xdr:to>
    <xdr:grpSp>
      <xdr:nvGrpSpPr>
        <xdr:cNvPr id="1047" name="グループ化 1046"/>
        <xdr:cNvGrpSpPr/>
      </xdr:nvGrpSpPr>
      <xdr:grpSpPr>
        <a:xfrm>
          <a:off x="4436652" y="19776020"/>
          <a:ext cx="1321352" cy="1309588"/>
          <a:chOff x="328402" y="476640"/>
          <a:chExt cx="1296144" cy="1296144"/>
        </a:xfrm>
      </xdr:grpSpPr>
      <xdr:sp macro="" textlink="">
        <xdr:nvSpPr>
          <xdr:cNvPr id="1048" name="角丸四角形 1047"/>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049" name="グループ化 1048"/>
          <xdr:cNvGrpSpPr/>
        </xdr:nvGrpSpPr>
        <xdr:grpSpPr>
          <a:xfrm>
            <a:off x="842964" y="671512"/>
            <a:ext cx="545307" cy="641538"/>
            <a:chOff x="3162860" y="6191931"/>
            <a:chExt cx="396350" cy="466295"/>
          </a:xfrm>
        </xdr:grpSpPr>
        <xdr:sp macro="" textlink="">
          <xdr:nvSpPr>
            <xdr:cNvPr id="1050" name="台形 1049"/>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51" name="台形 1050"/>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052" name="直線コネクタ 1051"/>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53" name="直線コネクタ 1052"/>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54" name="直線コネクタ 1053"/>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55" name="直線コネクタ 1054"/>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56" name="直線コネクタ 1055"/>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57" name="直線コネクタ 1056"/>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58" name="直線コネクタ 1057"/>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059" name="グループ化 1058"/>
            <xdr:cNvGrpSpPr/>
          </xdr:nvGrpSpPr>
          <xdr:grpSpPr>
            <a:xfrm rot="5400000">
              <a:off x="3220358" y="6373338"/>
              <a:ext cx="274658" cy="295117"/>
              <a:chOff x="1100474" y="8541778"/>
              <a:chExt cx="354609" cy="381026"/>
            </a:xfrm>
          </xdr:grpSpPr>
          <xdr:cxnSp macro="">
            <xdr:nvCxnSpPr>
              <xdr:cNvPr id="1060" name="曲線コネクタ 1059"/>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61" name="曲線コネクタ 1060"/>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62" name="曲線コネクタ 1061"/>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73</xdr:row>
      <xdr:rowOff>143313</xdr:rowOff>
    </xdr:from>
    <xdr:to>
      <xdr:col>18</xdr:col>
      <xdr:colOff>610062</xdr:colOff>
      <xdr:row>76</xdr:row>
      <xdr:rowOff>388342</xdr:rowOff>
    </xdr:to>
    <xdr:sp macro="" textlink="">
      <xdr:nvSpPr>
        <xdr:cNvPr id="1065" name="角丸四角形 1064"/>
        <xdr:cNvSpPr/>
      </xdr:nvSpPr>
      <xdr:spPr>
        <a:xfrm>
          <a:off x="5942294" y="20077777"/>
          <a:ext cx="1321661" cy="131999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74</xdr:row>
      <xdr:rowOff>194593</xdr:rowOff>
    </xdr:from>
    <xdr:to>
      <xdr:col>18</xdr:col>
      <xdr:colOff>498381</xdr:colOff>
      <xdr:row>75</xdr:row>
      <xdr:rowOff>227518</xdr:rowOff>
    </xdr:to>
    <xdr:grpSp>
      <xdr:nvGrpSpPr>
        <xdr:cNvPr id="1069" name="グループ化 1068"/>
        <xdr:cNvGrpSpPr/>
      </xdr:nvGrpSpPr>
      <xdr:grpSpPr>
        <a:xfrm>
          <a:off x="6404278" y="19972975"/>
          <a:ext cx="739191" cy="492367"/>
          <a:chOff x="15865410" y="6040532"/>
          <a:chExt cx="531149" cy="361912"/>
        </a:xfrm>
      </xdr:grpSpPr>
      <xdr:sp macro="" textlink="">
        <xdr:nvSpPr>
          <xdr:cNvPr id="1070" name="台形 1069"/>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71" name="台形 1070"/>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72" name="台形 1071"/>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73" name="台形 1072"/>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074" name="直線コネクタ 1073"/>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75" name="直線矢印コネクタ 1074"/>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76" name="直線コネクタ 1075"/>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100</xdr:row>
      <xdr:rowOff>34749</xdr:rowOff>
    </xdr:from>
    <xdr:to>
      <xdr:col>19</xdr:col>
      <xdr:colOff>0</xdr:colOff>
      <xdr:row>101</xdr:row>
      <xdr:rowOff>42945</xdr:rowOff>
    </xdr:to>
    <xdr:sp macro="" textlink="">
      <xdr:nvSpPr>
        <xdr:cNvPr id="1077" name="正方形/長方形 1076"/>
        <xdr:cNvSpPr/>
      </xdr:nvSpPr>
      <xdr:spPr>
        <a:xfrm>
          <a:off x="4341175" y="26217916"/>
          <a:ext cx="2950742" cy="325696"/>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4666</xdr:colOff>
      <xdr:row>90</xdr:row>
      <xdr:rowOff>28025</xdr:rowOff>
    </xdr:from>
    <xdr:to>
      <xdr:col>19</xdr:col>
      <xdr:colOff>0</xdr:colOff>
      <xdr:row>91</xdr:row>
      <xdr:rowOff>36222</xdr:rowOff>
    </xdr:to>
    <xdr:sp macro="" textlink="">
      <xdr:nvSpPr>
        <xdr:cNvPr id="1078" name="正方形/長方形 1077"/>
        <xdr:cNvSpPr/>
      </xdr:nvSpPr>
      <xdr:spPr>
        <a:xfrm>
          <a:off x="4354416" y="23882858"/>
          <a:ext cx="2937501" cy="325697"/>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89</xdr:row>
      <xdr:rowOff>31546</xdr:rowOff>
    </xdr:from>
    <xdr:to>
      <xdr:col>14</xdr:col>
      <xdr:colOff>278720</xdr:colOff>
      <xdr:row>91</xdr:row>
      <xdr:rowOff>8283</xdr:rowOff>
    </xdr:to>
    <xdr:sp macro="" textlink="">
      <xdr:nvSpPr>
        <xdr:cNvPr id="1079" name="テキスト ボックス 132"/>
        <xdr:cNvSpPr txBox="1"/>
      </xdr:nvSpPr>
      <xdr:spPr>
        <a:xfrm>
          <a:off x="4342278" y="23833463"/>
          <a:ext cx="1101109" cy="347153"/>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92</xdr:row>
      <xdr:rowOff>8842</xdr:rowOff>
    </xdr:from>
    <xdr:to>
      <xdr:col>15</xdr:col>
      <xdr:colOff>244710</xdr:colOff>
      <xdr:row>97</xdr:row>
      <xdr:rowOff>197842</xdr:rowOff>
    </xdr:to>
    <xdr:grpSp>
      <xdr:nvGrpSpPr>
        <xdr:cNvPr id="1080" name="グループ化 1079"/>
        <xdr:cNvGrpSpPr/>
      </xdr:nvGrpSpPr>
      <xdr:grpSpPr>
        <a:xfrm>
          <a:off x="4436652" y="24045460"/>
          <a:ext cx="1321352" cy="1309588"/>
          <a:chOff x="328402" y="476640"/>
          <a:chExt cx="1296144" cy="1296144"/>
        </a:xfrm>
      </xdr:grpSpPr>
      <xdr:sp macro="" textlink="">
        <xdr:nvSpPr>
          <xdr:cNvPr id="1081" name="角丸四角形 1080"/>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082" name="グループ化 1081"/>
          <xdr:cNvGrpSpPr/>
        </xdr:nvGrpSpPr>
        <xdr:grpSpPr>
          <a:xfrm>
            <a:off x="842964" y="671512"/>
            <a:ext cx="545307" cy="641538"/>
            <a:chOff x="3162860" y="6191931"/>
            <a:chExt cx="396350" cy="466295"/>
          </a:xfrm>
        </xdr:grpSpPr>
        <xdr:sp macro="" textlink="">
          <xdr:nvSpPr>
            <xdr:cNvPr id="1083" name="台形 1082"/>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084" name="台形 1083"/>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085" name="直線コネクタ 1084"/>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86" name="直線コネクタ 1085"/>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87" name="直線コネクタ 1086"/>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88" name="直線コネクタ 1087"/>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89" name="直線コネクタ 1088"/>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90" name="直線コネクタ 1089"/>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91" name="直線コネクタ 1090"/>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092" name="グループ化 1091"/>
            <xdr:cNvGrpSpPr/>
          </xdr:nvGrpSpPr>
          <xdr:grpSpPr>
            <a:xfrm rot="5400000">
              <a:off x="3220358" y="6373338"/>
              <a:ext cx="274658" cy="295117"/>
              <a:chOff x="1100474" y="8541778"/>
              <a:chExt cx="354609" cy="381026"/>
            </a:xfrm>
          </xdr:grpSpPr>
          <xdr:cxnSp macro="">
            <xdr:nvCxnSpPr>
              <xdr:cNvPr id="1093" name="曲線コネクタ 1092"/>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94" name="曲線コネクタ 1093"/>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095" name="曲線コネクタ 1094"/>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92</xdr:row>
      <xdr:rowOff>8842</xdr:rowOff>
    </xdr:from>
    <xdr:to>
      <xdr:col>18</xdr:col>
      <xdr:colOff>610062</xdr:colOff>
      <xdr:row>97</xdr:row>
      <xdr:rowOff>197842</xdr:rowOff>
    </xdr:to>
    <xdr:sp macro="" textlink="">
      <xdr:nvSpPr>
        <xdr:cNvPr id="1096" name="角丸四角形 1095"/>
        <xdr:cNvSpPr/>
      </xdr:nvSpPr>
      <xdr:spPr>
        <a:xfrm>
          <a:off x="5933223" y="24329342"/>
          <a:ext cx="1323172" cy="1353167"/>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10</xdr:col>
      <xdr:colOff>77195</xdr:colOff>
      <xdr:row>99</xdr:row>
      <xdr:rowOff>199636</xdr:rowOff>
    </xdr:from>
    <xdr:to>
      <xdr:col>14</xdr:col>
      <xdr:colOff>278720</xdr:colOff>
      <xdr:row>101</xdr:row>
      <xdr:rowOff>8283</xdr:rowOff>
    </xdr:to>
    <xdr:sp macro="" textlink="">
      <xdr:nvSpPr>
        <xdr:cNvPr id="1102" name="テキスト ボックス 132"/>
        <xdr:cNvSpPr txBox="1"/>
      </xdr:nvSpPr>
      <xdr:spPr>
        <a:xfrm>
          <a:off x="4342278" y="26149969"/>
          <a:ext cx="1101109" cy="358981"/>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102</xdr:row>
      <xdr:rowOff>8843</xdr:rowOff>
    </xdr:from>
    <xdr:to>
      <xdr:col>15</xdr:col>
      <xdr:colOff>244710</xdr:colOff>
      <xdr:row>104</xdr:row>
      <xdr:rowOff>399547</xdr:rowOff>
    </xdr:to>
    <xdr:grpSp>
      <xdr:nvGrpSpPr>
        <xdr:cNvPr id="1103" name="グループ化 1102"/>
        <xdr:cNvGrpSpPr/>
      </xdr:nvGrpSpPr>
      <xdr:grpSpPr>
        <a:xfrm>
          <a:off x="4436652" y="26297843"/>
          <a:ext cx="1321352" cy="1309586"/>
          <a:chOff x="328402" y="476640"/>
          <a:chExt cx="1296144" cy="1296144"/>
        </a:xfrm>
      </xdr:grpSpPr>
      <xdr:sp macro="" textlink="">
        <xdr:nvSpPr>
          <xdr:cNvPr id="1104" name="角丸四角形 1103"/>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105" name="グループ化 1104"/>
          <xdr:cNvGrpSpPr/>
        </xdr:nvGrpSpPr>
        <xdr:grpSpPr>
          <a:xfrm>
            <a:off x="842964" y="671512"/>
            <a:ext cx="545307" cy="641538"/>
            <a:chOff x="3162860" y="6191931"/>
            <a:chExt cx="396350" cy="466295"/>
          </a:xfrm>
        </xdr:grpSpPr>
        <xdr:sp macro="" textlink="">
          <xdr:nvSpPr>
            <xdr:cNvPr id="1106" name="台形 1105"/>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07" name="台形 1106"/>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108" name="直線コネクタ 1107"/>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09" name="直線コネクタ 1108"/>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0" name="直線コネクタ 1109"/>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1" name="直線コネクタ 1110"/>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2" name="直線コネクタ 1111"/>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3" name="直線コネクタ 1112"/>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14" name="直線コネクタ 1113"/>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115" name="グループ化 1114"/>
            <xdr:cNvGrpSpPr/>
          </xdr:nvGrpSpPr>
          <xdr:grpSpPr>
            <a:xfrm rot="5400000">
              <a:off x="3220358" y="6373338"/>
              <a:ext cx="274658" cy="295117"/>
              <a:chOff x="1100474" y="8541778"/>
              <a:chExt cx="354609" cy="381026"/>
            </a:xfrm>
          </xdr:grpSpPr>
          <xdr:cxnSp macro="">
            <xdr:nvCxnSpPr>
              <xdr:cNvPr id="1116" name="曲線コネクタ 1115"/>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117" name="曲線コネクタ 1116"/>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118" name="曲線コネクタ 1117"/>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101</xdr:row>
      <xdr:rowOff>143312</xdr:rowOff>
    </xdr:from>
    <xdr:to>
      <xdr:col>18</xdr:col>
      <xdr:colOff>610062</xdr:colOff>
      <xdr:row>104</xdr:row>
      <xdr:rowOff>388341</xdr:rowOff>
    </xdr:to>
    <xdr:sp macro="" textlink="">
      <xdr:nvSpPr>
        <xdr:cNvPr id="1121" name="角丸四角形 1120"/>
        <xdr:cNvSpPr/>
      </xdr:nvSpPr>
      <xdr:spPr>
        <a:xfrm>
          <a:off x="5933223" y="26643979"/>
          <a:ext cx="1323172" cy="1303362"/>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92</xdr:row>
      <xdr:rowOff>205798</xdr:rowOff>
    </xdr:from>
    <xdr:to>
      <xdr:col>18</xdr:col>
      <xdr:colOff>498381</xdr:colOff>
      <xdr:row>95</xdr:row>
      <xdr:rowOff>25812</xdr:rowOff>
    </xdr:to>
    <xdr:grpSp>
      <xdr:nvGrpSpPr>
        <xdr:cNvPr id="1125" name="グループ化 1124"/>
        <xdr:cNvGrpSpPr/>
      </xdr:nvGrpSpPr>
      <xdr:grpSpPr>
        <a:xfrm>
          <a:off x="6404278" y="24242416"/>
          <a:ext cx="739191" cy="492367"/>
          <a:chOff x="15865410" y="6040532"/>
          <a:chExt cx="531149" cy="361912"/>
        </a:xfrm>
      </xdr:grpSpPr>
      <xdr:sp macro="" textlink="">
        <xdr:nvSpPr>
          <xdr:cNvPr id="1126" name="台形 1125"/>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27" name="台形 1126"/>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28" name="台形 1127"/>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29" name="台形 1128"/>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130" name="直線コネクタ 1129"/>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31" name="直線矢印コネクタ 1130"/>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32" name="直線コネクタ 1131"/>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128984</xdr:colOff>
      <xdr:row>102</xdr:row>
      <xdr:rowOff>194593</xdr:rowOff>
    </xdr:from>
    <xdr:to>
      <xdr:col>18</xdr:col>
      <xdr:colOff>498381</xdr:colOff>
      <xdr:row>103</xdr:row>
      <xdr:rowOff>227517</xdr:rowOff>
    </xdr:to>
    <xdr:grpSp>
      <xdr:nvGrpSpPr>
        <xdr:cNvPr id="1133" name="グループ化 1132"/>
        <xdr:cNvGrpSpPr/>
      </xdr:nvGrpSpPr>
      <xdr:grpSpPr>
        <a:xfrm>
          <a:off x="6404278" y="26483593"/>
          <a:ext cx="739191" cy="492365"/>
          <a:chOff x="15865410" y="6040532"/>
          <a:chExt cx="531149" cy="361912"/>
        </a:xfrm>
      </xdr:grpSpPr>
      <xdr:sp macro="" textlink="">
        <xdr:nvSpPr>
          <xdr:cNvPr id="1134" name="台形 1133"/>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35" name="台形 1134"/>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36" name="台形 1135"/>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37" name="台形 1136"/>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138" name="直線コネクタ 1137"/>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39" name="直線矢印コネクタ 1138"/>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40" name="直線コネクタ 1139"/>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107</xdr:row>
      <xdr:rowOff>45955</xdr:rowOff>
    </xdr:from>
    <xdr:to>
      <xdr:col>19</xdr:col>
      <xdr:colOff>0</xdr:colOff>
      <xdr:row>108</xdr:row>
      <xdr:rowOff>54151</xdr:rowOff>
    </xdr:to>
    <xdr:sp macro="" textlink="">
      <xdr:nvSpPr>
        <xdr:cNvPr id="1141" name="正方形/長方形 1140"/>
        <xdr:cNvSpPr/>
      </xdr:nvSpPr>
      <xdr:spPr>
        <a:xfrm>
          <a:off x="4341175" y="28525705"/>
          <a:ext cx="2950742" cy="325696"/>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106</xdr:row>
      <xdr:rowOff>210841</xdr:rowOff>
    </xdr:from>
    <xdr:to>
      <xdr:col>14</xdr:col>
      <xdr:colOff>278720</xdr:colOff>
      <xdr:row>108</xdr:row>
      <xdr:rowOff>19489</xdr:rowOff>
    </xdr:to>
    <xdr:sp macro="" textlink="">
      <xdr:nvSpPr>
        <xdr:cNvPr id="1142" name="テキスト ボックス 132"/>
        <xdr:cNvSpPr txBox="1"/>
      </xdr:nvSpPr>
      <xdr:spPr>
        <a:xfrm>
          <a:off x="4342278" y="28457758"/>
          <a:ext cx="1101109" cy="358981"/>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108</xdr:row>
      <xdr:rowOff>143313</xdr:rowOff>
    </xdr:from>
    <xdr:to>
      <xdr:col>15</xdr:col>
      <xdr:colOff>244710</xdr:colOff>
      <xdr:row>111</xdr:row>
      <xdr:rowOff>388343</xdr:rowOff>
    </xdr:to>
    <xdr:grpSp>
      <xdr:nvGrpSpPr>
        <xdr:cNvPr id="1143" name="グループ化 1142"/>
        <xdr:cNvGrpSpPr/>
      </xdr:nvGrpSpPr>
      <xdr:grpSpPr>
        <a:xfrm>
          <a:off x="4436652" y="28572637"/>
          <a:ext cx="1321352" cy="1309588"/>
          <a:chOff x="328402" y="476640"/>
          <a:chExt cx="1296144" cy="1296144"/>
        </a:xfrm>
      </xdr:grpSpPr>
      <xdr:sp macro="" textlink="">
        <xdr:nvSpPr>
          <xdr:cNvPr id="1144" name="角丸四角形 1143"/>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145" name="グループ化 1144"/>
          <xdr:cNvGrpSpPr/>
        </xdr:nvGrpSpPr>
        <xdr:grpSpPr>
          <a:xfrm>
            <a:off x="842964" y="671512"/>
            <a:ext cx="545307" cy="641538"/>
            <a:chOff x="3162860" y="6191931"/>
            <a:chExt cx="396350" cy="466295"/>
          </a:xfrm>
        </xdr:grpSpPr>
        <xdr:sp macro="" textlink="">
          <xdr:nvSpPr>
            <xdr:cNvPr id="1146" name="台形 1145"/>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47" name="台形 1146"/>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148" name="直線コネクタ 1147"/>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49" name="直線コネクタ 1148"/>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50" name="直線コネクタ 1149"/>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51" name="直線コネクタ 1150"/>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52" name="直線コネクタ 1151"/>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53" name="直線コネクタ 1152"/>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54" name="直線コネクタ 1153"/>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155" name="グループ化 1154"/>
            <xdr:cNvGrpSpPr/>
          </xdr:nvGrpSpPr>
          <xdr:grpSpPr>
            <a:xfrm rot="5400000">
              <a:off x="3220358" y="6373338"/>
              <a:ext cx="274658" cy="295117"/>
              <a:chOff x="1100474" y="8541778"/>
              <a:chExt cx="354609" cy="381026"/>
            </a:xfrm>
          </xdr:grpSpPr>
          <xdr:cxnSp macro="">
            <xdr:nvCxnSpPr>
              <xdr:cNvPr id="1156" name="曲線コネクタ 1155"/>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157" name="曲線コネクタ 1156"/>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158" name="曲線コネクタ 1157"/>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108</xdr:row>
      <xdr:rowOff>143312</xdr:rowOff>
    </xdr:from>
    <xdr:to>
      <xdr:col>18</xdr:col>
      <xdr:colOff>610062</xdr:colOff>
      <xdr:row>111</xdr:row>
      <xdr:rowOff>388342</xdr:rowOff>
    </xdr:to>
    <xdr:sp macro="" textlink="">
      <xdr:nvSpPr>
        <xdr:cNvPr id="1161" name="角丸四角形 1160"/>
        <xdr:cNvSpPr/>
      </xdr:nvSpPr>
      <xdr:spPr>
        <a:xfrm>
          <a:off x="5933223" y="28940562"/>
          <a:ext cx="1323172" cy="1303363"/>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109</xdr:row>
      <xdr:rowOff>194592</xdr:rowOff>
    </xdr:from>
    <xdr:to>
      <xdr:col>18</xdr:col>
      <xdr:colOff>498381</xdr:colOff>
      <xdr:row>110</xdr:row>
      <xdr:rowOff>227517</xdr:rowOff>
    </xdr:to>
    <xdr:grpSp>
      <xdr:nvGrpSpPr>
        <xdr:cNvPr id="1165" name="グループ化 1164"/>
        <xdr:cNvGrpSpPr/>
      </xdr:nvGrpSpPr>
      <xdr:grpSpPr>
        <a:xfrm>
          <a:off x="6404278" y="28769592"/>
          <a:ext cx="739191" cy="492366"/>
          <a:chOff x="15865410" y="6040532"/>
          <a:chExt cx="531149" cy="361912"/>
        </a:xfrm>
      </xdr:grpSpPr>
      <xdr:sp macro="" textlink="">
        <xdr:nvSpPr>
          <xdr:cNvPr id="1166" name="台形 1165"/>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67" name="台形 1166"/>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68" name="台形 1167"/>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69" name="台形 1168"/>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170" name="直線コネクタ 1169"/>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71" name="直線矢印コネクタ 1170"/>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72" name="直線コネクタ 1171"/>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114</xdr:row>
      <xdr:rowOff>34750</xdr:rowOff>
    </xdr:from>
    <xdr:to>
      <xdr:col>19</xdr:col>
      <xdr:colOff>0</xdr:colOff>
      <xdr:row>115</xdr:row>
      <xdr:rowOff>42946</xdr:rowOff>
    </xdr:to>
    <xdr:sp macro="" textlink="">
      <xdr:nvSpPr>
        <xdr:cNvPr id="1173" name="正方形/長方形 1172"/>
        <xdr:cNvSpPr/>
      </xdr:nvSpPr>
      <xdr:spPr>
        <a:xfrm>
          <a:off x="4341175" y="30811083"/>
          <a:ext cx="2950742" cy="325696"/>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113</xdr:row>
      <xdr:rowOff>199635</xdr:rowOff>
    </xdr:from>
    <xdr:to>
      <xdr:col>14</xdr:col>
      <xdr:colOff>278720</xdr:colOff>
      <xdr:row>115</xdr:row>
      <xdr:rowOff>8284</xdr:rowOff>
    </xdr:to>
    <xdr:sp macro="" textlink="">
      <xdr:nvSpPr>
        <xdr:cNvPr id="1174" name="テキスト ボックス 132"/>
        <xdr:cNvSpPr txBox="1"/>
      </xdr:nvSpPr>
      <xdr:spPr>
        <a:xfrm>
          <a:off x="4342278" y="30743135"/>
          <a:ext cx="1101109" cy="358982"/>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115</xdr:row>
      <xdr:rowOff>143314</xdr:rowOff>
    </xdr:from>
    <xdr:to>
      <xdr:col>15</xdr:col>
      <xdr:colOff>244710</xdr:colOff>
      <xdr:row>118</xdr:row>
      <xdr:rowOff>388342</xdr:rowOff>
    </xdr:to>
    <xdr:grpSp>
      <xdr:nvGrpSpPr>
        <xdr:cNvPr id="1175" name="グループ化 1174"/>
        <xdr:cNvGrpSpPr/>
      </xdr:nvGrpSpPr>
      <xdr:grpSpPr>
        <a:xfrm>
          <a:off x="4436652" y="30858638"/>
          <a:ext cx="1321352" cy="1309586"/>
          <a:chOff x="328402" y="476640"/>
          <a:chExt cx="1296144" cy="1296144"/>
        </a:xfrm>
      </xdr:grpSpPr>
      <xdr:sp macro="" textlink="">
        <xdr:nvSpPr>
          <xdr:cNvPr id="1176" name="角丸四角形 1175"/>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177" name="グループ化 1176"/>
          <xdr:cNvGrpSpPr/>
        </xdr:nvGrpSpPr>
        <xdr:grpSpPr>
          <a:xfrm>
            <a:off x="842964" y="671512"/>
            <a:ext cx="545307" cy="641538"/>
            <a:chOff x="3162860" y="6191931"/>
            <a:chExt cx="396350" cy="466295"/>
          </a:xfrm>
        </xdr:grpSpPr>
        <xdr:sp macro="" textlink="">
          <xdr:nvSpPr>
            <xdr:cNvPr id="1178" name="台形 1177"/>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79" name="台形 1178"/>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180" name="直線コネクタ 1179"/>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81" name="直線コネクタ 1180"/>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82" name="直線コネクタ 1181"/>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83" name="直線コネクタ 1182"/>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84" name="直線コネクタ 1183"/>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85" name="直線コネクタ 1184"/>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86" name="直線コネクタ 1185"/>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187" name="グループ化 1186"/>
            <xdr:cNvGrpSpPr/>
          </xdr:nvGrpSpPr>
          <xdr:grpSpPr>
            <a:xfrm rot="5400000">
              <a:off x="3220358" y="6373338"/>
              <a:ext cx="274658" cy="295117"/>
              <a:chOff x="1100474" y="8541778"/>
              <a:chExt cx="354609" cy="381026"/>
            </a:xfrm>
          </xdr:grpSpPr>
          <xdr:cxnSp macro="">
            <xdr:nvCxnSpPr>
              <xdr:cNvPr id="1188" name="曲線コネクタ 1187"/>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189" name="曲線コネクタ 1188"/>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190" name="曲線コネクタ 1189"/>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115</xdr:row>
      <xdr:rowOff>143313</xdr:rowOff>
    </xdr:from>
    <xdr:to>
      <xdr:col>18</xdr:col>
      <xdr:colOff>610062</xdr:colOff>
      <xdr:row>118</xdr:row>
      <xdr:rowOff>388341</xdr:rowOff>
    </xdr:to>
    <xdr:sp macro="" textlink="">
      <xdr:nvSpPr>
        <xdr:cNvPr id="1193" name="角丸四角形 1192"/>
        <xdr:cNvSpPr/>
      </xdr:nvSpPr>
      <xdr:spPr>
        <a:xfrm>
          <a:off x="5933223" y="31237146"/>
          <a:ext cx="1323172" cy="1303362"/>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116</xdr:row>
      <xdr:rowOff>194592</xdr:rowOff>
    </xdr:from>
    <xdr:to>
      <xdr:col>18</xdr:col>
      <xdr:colOff>498381</xdr:colOff>
      <xdr:row>117</xdr:row>
      <xdr:rowOff>227518</xdr:rowOff>
    </xdr:to>
    <xdr:grpSp>
      <xdr:nvGrpSpPr>
        <xdr:cNvPr id="1197" name="グループ化 1196"/>
        <xdr:cNvGrpSpPr/>
      </xdr:nvGrpSpPr>
      <xdr:grpSpPr>
        <a:xfrm>
          <a:off x="6404278" y="31055592"/>
          <a:ext cx="739191" cy="492367"/>
          <a:chOff x="15865410" y="6040532"/>
          <a:chExt cx="531149" cy="361912"/>
        </a:xfrm>
      </xdr:grpSpPr>
      <xdr:sp macro="" textlink="">
        <xdr:nvSpPr>
          <xdr:cNvPr id="1198" name="台形 1197"/>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199" name="台形 1198"/>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00" name="台形 1199"/>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01" name="台形 1200"/>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202" name="直線コネクタ 1201"/>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03" name="直線矢印コネクタ 1202"/>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04" name="直線コネクタ 1203"/>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142</xdr:row>
      <xdr:rowOff>34749</xdr:rowOff>
    </xdr:from>
    <xdr:to>
      <xdr:col>19</xdr:col>
      <xdr:colOff>0</xdr:colOff>
      <xdr:row>143</xdr:row>
      <xdr:rowOff>42945</xdr:rowOff>
    </xdr:to>
    <xdr:sp macro="" textlink="">
      <xdr:nvSpPr>
        <xdr:cNvPr id="1205" name="正方形/長方形 1204"/>
        <xdr:cNvSpPr/>
      </xdr:nvSpPr>
      <xdr:spPr>
        <a:xfrm>
          <a:off x="4333767" y="37086999"/>
          <a:ext cx="2943333"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4666</xdr:colOff>
      <xdr:row>132</xdr:row>
      <xdr:rowOff>28025</xdr:rowOff>
    </xdr:from>
    <xdr:to>
      <xdr:col>19</xdr:col>
      <xdr:colOff>0</xdr:colOff>
      <xdr:row>133</xdr:row>
      <xdr:rowOff>36222</xdr:rowOff>
    </xdr:to>
    <xdr:sp macro="" textlink="">
      <xdr:nvSpPr>
        <xdr:cNvPr id="1206" name="正方形/長方形 1205"/>
        <xdr:cNvSpPr/>
      </xdr:nvSpPr>
      <xdr:spPr>
        <a:xfrm>
          <a:off x="4348066" y="34794275"/>
          <a:ext cx="2929034" cy="322522"/>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131</xdr:row>
      <xdr:rowOff>31546</xdr:rowOff>
    </xdr:from>
    <xdr:to>
      <xdr:col>14</xdr:col>
      <xdr:colOff>278720</xdr:colOff>
      <xdr:row>133</xdr:row>
      <xdr:rowOff>8283</xdr:rowOff>
    </xdr:to>
    <xdr:sp macro="" textlink="">
      <xdr:nvSpPr>
        <xdr:cNvPr id="1207" name="テキスト ボックス 132"/>
        <xdr:cNvSpPr txBox="1"/>
      </xdr:nvSpPr>
      <xdr:spPr>
        <a:xfrm>
          <a:off x="4334870" y="34740646"/>
          <a:ext cx="1106400" cy="348212"/>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134</xdr:row>
      <xdr:rowOff>8842</xdr:rowOff>
    </xdr:from>
    <xdr:to>
      <xdr:col>15</xdr:col>
      <xdr:colOff>244710</xdr:colOff>
      <xdr:row>139</xdr:row>
      <xdr:rowOff>197842</xdr:rowOff>
    </xdr:to>
    <xdr:grpSp>
      <xdr:nvGrpSpPr>
        <xdr:cNvPr id="1208" name="グループ化 1207"/>
        <xdr:cNvGrpSpPr/>
      </xdr:nvGrpSpPr>
      <xdr:grpSpPr>
        <a:xfrm>
          <a:off x="4436652" y="35150489"/>
          <a:ext cx="1321352" cy="1309588"/>
          <a:chOff x="328402" y="476640"/>
          <a:chExt cx="1296144" cy="1296144"/>
        </a:xfrm>
      </xdr:grpSpPr>
      <xdr:sp macro="" textlink="">
        <xdr:nvSpPr>
          <xdr:cNvPr id="1209" name="角丸四角形 1208"/>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210" name="グループ化 1209"/>
          <xdr:cNvGrpSpPr/>
        </xdr:nvGrpSpPr>
        <xdr:grpSpPr>
          <a:xfrm>
            <a:off x="842964" y="671512"/>
            <a:ext cx="545307" cy="641538"/>
            <a:chOff x="3162860" y="6191931"/>
            <a:chExt cx="396350" cy="466295"/>
          </a:xfrm>
        </xdr:grpSpPr>
        <xdr:sp macro="" textlink="">
          <xdr:nvSpPr>
            <xdr:cNvPr id="1211" name="台形 1210"/>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12" name="台形 1211"/>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213" name="直線コネクタ 1212"/>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14" name="直線コネクタ 1213"/>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15" name="直線コネクタ 1214"/>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16" name="直線コネクタ 1215"/>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17" name="直線コネクタ 1216"/>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18" name="直線コネクタ 1217"/>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19" name="直線コネクタ 1218"/>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220" name="グループ化 1219"/>
            <xdr:cNvGrpSpPr/>
          </xdr:nvGrpSpPr>
          <xdr:grpSpPr>
            <a:xfrm rot="5400000">
              <a:off x="3220358" y="6373338"/>
              <a:ext cx="274658" cy="295117"/>
              <a:chOff x="1100474" y="8541778"/>
              <a:chExt cx="354609" cy="381026"/>
            </a:xfrm>
          </xdr:grpSpPr>
          <xdr:cxnSp macro="">
            <xdr:nvCxnSpPr>
              <xdr:cNvPr id="1221" name="曲線コネクタ 1220"/>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222" name="曲線コネクタ 1221"/>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223" name="曲線コネクタ 1222"/>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134</xdr:row>
      <xdr:rowOff>8842</xdr:rowOff>
    </xdr:from>
    <xdr:to>
      <xdr:col>18</xdr:col>
      <xdr:colOff>610062</xdr:colOff>
      <xdr:row>139</xdr:row>
      <xdr:rowOff>197842</xdr:rowOff>
    </xdr:to>
    <xdr:sp macro="" textlink="">
      <xdr:nvSpPr>
        <xdr:cNvPr id="1224" name="角丸四角形 1223"/>
        <xdr:cNvSpPr/>
      </xdr:nvSpPr>
      <xdr:spPr>
        <a:xfrm>
          <a:off x="5920523" y="35232292"/>
          <a:ext cx="1318939" cy="1332000"/>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10</xdr:col>
      <xdr:colOff>77195</xdr:colOff>
      <xdr:row>141</xdr:row>
      <xdr:rowOff>199636</xdr:rowOff>
    </xdr:from>
    <xdr:to>
      <xdr:col>14</xdr:col>
      <xdr:colOff>278720</xdr:colOff>
      <xdr:row>143</xdr:row>
      <xdr:rowOff>8283</xdr:rowOff>
    </xdr:to>
    <xdr:sp macro="" textlink="">
      <xdr:nvSpPr>
        <xdr:cNvPr id="1230" name="テキスト ボックス 132"/>
        <xdr:cNvSpPr txBox="1"/>
      </xdr:nvSpPr>
      <xdr:spPr>
        <a:xfrm>
          <a:off x="4334870" y="37023286"/>
          <a:ext cx="1106400" cy="351572"/>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144</xdr:row>
      <xdr:rowOff>8844</xdr:rowOff>
    </xdr:from>
    <xdr:to>
      <xdr:col>15</xdr:col>
      <xdr:colOff>244710</xdr:colOff>
      <xdr:row>146</xdr:row>
      <xdr:rowOff>399547</xdr:rowOff>
    </xdr:to>
    <xdr:grpSp>
      <xdr:nvGrpSpPr>
        <xdr:cNvPr id="1231" name="グループ化 1230"/>
        <xdr:cNvGrpSpPr/>
      </xdr:nvGrpSpPr>
      <xdr:grpSpPr>
        <a:xfrm>
          <a:off x="4436652" y="37402873"/>
          <a:ext cx="1321352" cy="1309586"/>
          <a:chOff x="328402" y="476640"/>
          <a:chExt cx="1296144" cy="1296144"/>
        </a:xfrm>
      </xdr:grpSpPr>
      <xdr:sp macro="" textlink="">
        <xdr:nvSpPr>
          <xdr:cNvPr id="1232" name="角丸四角形 1231"/>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233" name="グループ化 1232"/>
          <xdr:cNvGrpSpPr/>
        </xdr:nvGrpSpPr>
        <xdr:grpSpPr>
          <a:xfrm>
            <a:off x="842964" y="671512"/>
            <a:ext cx="545307" cy="641538"/>
            <a:chOff x="3162860" y="6191931"/>
            <a:chExt cx="396350" cy="466295"/>
          </a:xfrm>
        </xdr:grpSpPr>
        <xdr:sp macro="" textlink="">
          <xdr:nvSpPr>
            <xdr:cNvPr id="1234" name="台形 1233"/>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35" name="台形 1234"/>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236" name="直線コネクタ 1235"/>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37" name="直線コネクタ 1236"/>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38" name="直線コネクタ 1237"/>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39" name="直線コネクタ 1238"/>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0" name="直線コネクタ 1239"/>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1" name="直線コネクタ 1240"/>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42" name="直線コネクタ 1241"/>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243" name="グループ化 1242"/>
            <xdr:cNvGrpSpPr/>
          </xdr:nvGrpSpPr>
          <xdr:grpSpPr>
            <a:xfrm rot="5400000">
              <a:off x="3220358" y="6373338"/>
              <a:ext cx="274658" cy="295117"/>
              <a:chOff x="1100474" y="8541778"/>
              <a:chExt cx="354609" cy="381026"/>
            </a:xfrm>
          </xdr:grpSpPr>
          <xdr:cxnSp macro="">
            <xdr:nvCxnSpPr>
              <xdr:cNvPr id="1244" name="曲線コネクタ 1243"/>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245" name="曲線コネクタ 1244"/>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246" name="曲線コネクタ 1245"/>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144</xdr:row>
      <xdr:rowOff>4767</xdr:rowOff>
    </xdr:from>
    <xdr:to>
      <xdr:col>18</xdr:col>
      <xdr:colOff>610062</xdr:colOff>
      <xdr:row>146</xdr:row>
      <xdr:rowOff>388341</xdr:rowOff>
    </xdr:to>
    <xdr:sp macro="" textlink="">
      <xdr:nvSpPr>
        <xdr:cNvPr id="1249" name="角丸四角形 1248"/>
        <xdr:cNvSpPr/>
      </xdr:nvSpPr>
      <xdr:spPr>
        <a:xfrm>
          <a:off x="5920523" y="37514217"/>
          <a:ext cx="1318939" cy="129797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134</xdr:row>
      <xdr:rowOff>205798</xdr:rowOff>
    </xdr:from>
    <xdr:to>
      <xdr:col>18</xdr:col>
      <xdr:colOff>498381</xdr:colOff>
      <xdr:row>137</xdr:row>
      <xdr:rowOff>25812</xdr:rowOff>
    </xdr:to>
    <xdr:grpSp>
      <xdr:nvGrpSpPr>
        <xdr:cNvPr id="1253" name="グループ化 1252"/>
        <xdr:cNvGrpSpPr/>
      </xdr:nvGrpSpPr>
      <xdr:grpSpPr>
        <a:xfrm>
          <a:off x="6404278" y="35347445"/>
          <a:ext cx="739191" cy="492367"/>
          <a:chOff x="15865410" y="6040532"/>
          <a:chExt cx="531149" cy="361912"/>
        </a:xfrm>
      </xdr:grpSpPr>
      <xdr:sp macro="" textlink="">
        <xdr:nvSpPr>
          <xdr:cNvPr id="1254" name="台形 1253"/>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55" name="台形 1254"/>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56" name="台形 1255"/>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57" name="台形 1256"/>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258" name="直線コネクタ 1257"/>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59" name="直線矢印コネクタ 1258"/>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60" name="直線コネクタ 1259"/>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128984</xdr:colOff>
      <xdr:row>144</xdr:row>
      <xdr:rowOff>194594</xdr:rowOff>
    </xdr:from>
    <xdr:to>
      <xdr:col>18</xdr:col>
      <xdr:colOff>498381</xdr:colOff>
      <xdr:row>145</xdr:row>
      <xdr:rowOff>227517</xdr:rowOff>
    </xdr:to>
    <xdr:grpSp>
      <xdr:nvGrpSpPr>
        <xdr:cNvPr id="1261" name="グループ化 1260"/>
        <xdr:cNvGrpSpPr/>
      </xdr:nvGrpSpPr>
      <xdr:grpSpPr>
        <a:xfrm>
          <a:off x="6404278" y="37588623"/>
          <a:ext cx="739191" cy="492365"/>
          <a:chOff x="15865410" y="6040532"/>
          <a:chExt cx="531149" cy="361912"/>
        </a:xfrm>
      </xdr:grpSpPr>
      <xdr:sp macro="" textlink="">
        <xdr:nvSpPr>
          <xdr:cNvPr id="1262" name="台形 1261"/>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63" name="台形 1262"/>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64" name="台形 1263"/>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65" name="台形 1264"/>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266" name="直線コネクタ 1265"/>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67" name="直線矢印コネクタ 1266"/>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68" name="直線コネクタ 1267"/>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149</xdr:row>
      <xdr:rowOff>45955</xdr:rowOff>
    </xdr:from>
    <xdr:to>
      <xdr:col>19</xdr:col>
      <xdr:colOff>0</xdr:colOff>
      <xdr:row>150</xdr:row>
      <xdr:rowOff>54151</xdr:rowOff>
    </xdr:to>
    <xdr:sp macro="" textlink="">
      <xdr:nvSpPr>
        <xdr:cNvPr id="1269" name="正方形/長方形 1268"/>
        <xdr:cNvSpPr/>
      </xdr:nvSpPr>
      <xdr:spPr>
        <a:xfrm>
          <a:off x="4333767" y="39384205"/>
          <a:ext cx="2943333"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148</xdr:row>
      <xdr:rowOff>210841</xdr:rowOff>
    </xdr:from>
    <xdr:to>
      <xdr:col>14</xdr:col>
      <xdr:colOff>278720</xdr:colOff>
      <xdr:row>150</xdr:row>
      <xdr:rowOff>19489</xdr:rowOff>
    </xdr:to>
    <xdr:sp macro="" textlink="">
      <xdr:nvSpPr>
        <xdr:cNvPr id="1270" name="テキスト ボックス 132"/>
        <xdr:cNvSpPr txBox="1"/>
      </xdr:nvSpPr>
      <xdr:spPr>
        <a:xfrm>
          <a:off x="4334870" y="39320491"/>
          <a:ext cx="1106400" cy="351573"/>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151</xdr:row>
      <xdr:rowOff>4768</xdr:rowOff>
    </xdr:from>
    <xdr:to>
      <xdr:col>15</xdr:col>
      <xdr:colOff>244710</xdr:colOff>
      <xdr:row>153</xdr:row>
      <xdr:rowOff>388343</xdr:rowOff>
    </xdr:to>
    <xdr:grpSp>
      <xdr:nvGrpSpPr>
        <xdr:cNvPr id="1271" name="グループ化 1270"/>
        <xdr:cNvGrpSpPr/>
      </xdr:nvGrpSpPr>
      <xdr:grpSpPr>
        <a:xfrm>
          <a:off x="4436652" y="39684797"/>
          <a:ext cx="1321352" cy="1302458"/>
          <a:chOff x="328402" y="476640"/>
          <a:chExt cx="1296144" cy="1296144"/>
        </a:xfrm>
      </xdr:grpSpPr>
      <xdr:sp macro="" textlink="">
        <xdr:nvSpPr>
          <xdr:cNvPr id="1272" name="角丸四角形 1271"/>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273" name="グループ化 1272"/>
          <xdr:cNvGrpSpPr/>
        </xdr:nvGrpSpPr>
        <xdr:grpSpPr>
          <a:xfrm>
            <a:off x="842964" y="671512"/>
            <a:ext cx="545307" cy="641538"/>
            <a:chOff x="3162860" y="6191931"/>
            <a:chExt cx="396350" cy="466295"/>
          </a:xfrm>
        </xdr:grpSpPr>
        <xdr:sp macro="" textlink="">
          <xdr:nvSpPr>
            <xdr:cNvPr id="1274" name="台形 1273"/>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75" name="台形 1274"/>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276" name="直線コネクタ 1275"/>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77" name="直線コネクタ 1276"/>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78" name="直線コネクタ 1277"/>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79" name="直線コネクタ 1278"/>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80" name="直線コネクタ 1279"/>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81" name="直線コネクタ 1280"/>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82" name="直線コネクタ 1281"/>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283" name="グループ化 1282"/>
            <xdr:cNvGrpSpPr/>
          </xdr:nvGrpSpPr>
          <xdr:grpSpPr>
            <a:xfrm rot="5400000">
              <a:off x="3220358" y="6373338"/>
              <a:ext cx="274658" cy="295117"/>
              <a:chOff x="1100474" y="8541778"/>
              <a:chExt cx="354609" cy="381026"/>
            </a:xfrm>
          </xdr:grpSpPr>
          <xdr:cxnSp macro="">
            <xdr:nvCxnSpPr>
              <xdr:cNvPr id="1284" name="曲線コネクタ 1283"/>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285" name="曲線コネクタ 1284"/>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286" name="曲線コネクタ 1285"/>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151</xdr:row>
      <xdr:rowOff>4767</xdr:rowOff>
    </xdr:from>
    <xdr:to>
      <xdr:col>18</xdr:col>
      <xdr:colOff>610062</xdr:colOff>
      <xdr:row>153</xdr:row>
      <xdr:rowOff>388342</xdr:rowOff>
    </xdr:to>
    <xdr:sp macro="" textlink="">
      <xdr:nvSpPr>
        <xdr:cNvPr id="1289" name="角丸四角形 1288"/>
        <xdr:cNvSpPr/>
      </xdr:nvSpPr>
      <xdr:spPr>
        <a:xfrm>
          <a:off x="5920523" y="39800217"/>
          <a:ext cx="1318939" cy="1297975"/>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151</xdr:row>
      <xdr:rowOff>194592</xdr:rowOff>
    </xdr:from>
    <xdr:to>
      <xdr:col>18</xdr:col>
      <xdr:colOff>498381</xdr:colOff>
      <xdr:row>152</xdr:row>
      <xdr:rowOff>227517</xdr:rowOff>
    </xdr:to>
    <xdr:grpSp>
      <xdr:nvGrpSpPr>
        <xdr:cNvPr id="1293" name="グループ化 1292"/>
        <xdr:cNvGrpSpPr/>
      </xdr:nvGrpSpPr>
      <xdr:grpSpPr>
        <a:xfrm>
          <a:off x="6404278" y="39874621"/>
          <a:ext cx="739191" cy="492367"/>
          <a:chOff x="15865410" y="6040532"/>
          <a:chExt cx="531149" cy="361912"/>
        </a:xfrm>
      </xdr:grpSpPr>
      <xdr:sp macro="" textlink="">
        <xdr:nvSpPr>
          <xdr:cNvPr id="1294" name="台形 1293"/>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95" name="台形 1294"/>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96" name="台形 1295"/>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297" name="台形 1296"/>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298" name="直線コネクタ 1297"/>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299" name="直線矢印コネクタ 1298"/>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300" name="直線コネクタ 1299"/>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156</xdr:row>
      <xdr:rowOff>34750</xdr:rowOff>
    </xdr:from>
    <xdr:to>
      <xdr:col>19</xdr:col>
      <xdr:colOff>0</xdr:colOff>
      <xdr:row>157</xdr:row>
      <xdr:rowOff>42946</xdr:rowOff>
    </xdr:to>
    <xdr:sp macro="" textlink="">
      <xdr:nvSpPr>
        <xdr:cNvPr id="1301" name="正方形/長方形 1300"/>
        <xdr:cNvSpPr/>
      </xdr:nvSpPr>
      <xdr:spPr>
        <a:xfrm>
          <a:off x="4333767" y="41659000"/>
          <a:ext cx="2943333" cy="322521"/>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155</xdr:row>
      <xdr:rowOff>199635</xdr:rowOff>
    </xdr:from>
    <xdr:to>
      <xdr:col>14</xdr:col>
      <xdr:colOff>278720</xdr:colOff>
      <xdr:row>157</xdr:row>
      <xdr:rowOff>8284</xdr:rowOff>
    </xdr:to>
    <xdr:sp macro="" textlink="">
      <xdr:nvSpPr>
        <xdr:cNvPr id="1302" name="テキスト ボックス 132"/>
        <xdr:cNvSpPr txBox="1"/>
      </xdr:nvSpPr>
      <xdr:spPr>
        <a:xfrm>
          <a:off x="4334870" y="41595285"/>
          <a:ext cx="1106400" cy="351574"/>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158</xdr:row>
      <xdr:rowOff>4768</xdr:rowOff>
    </xdr:from>
    <xdr:to>
      <xdr:col>15</xdr:col>
      <xdr:colOff>244710</xdr:colOff>
      <xdr:row>160</xdr:row>
      <xdr:rowOff>388342</xdr:rowOff>
    </xdr:to>
    <xdr:grpSp>
      <xdr:nvGrpSpPr>
        <xdr:cNvPr id="1303" name="グループ化 1302"/>
        <xdr:cNvGrpSpPr/>
      </xdr:nvGrpSpPr>
      <xdr:grpSpPr>
        <a:xfrm>
          <a:off x="4436652" y="41970797"/>
          <a:ext cx="1321352" cy="1302457"/>
          <a:chOff x="328402" y="476640"/>
          <a:chExt cx="1296144" cy="1296144"/>
        </a:xfrm>
      </xdr:grpSpPr>
      <xdr:sp macro="" textlink="">
        <xdr:nvSpPr>
          <xdr:cNvPr id="1304" name="角丸四角形 1303"/>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305" name="グループ化 1304"/>
          <xdr:cNvGrpSpPr/>
        </xdr:nvGrpSpPr>
        <xdr:grpSpPr>
          <a:xfrm>
            <a:off x="842964" y="671512"/>
            <a:ext cx="545307" cy="641538"/>
            <a:chOff x="3162860" y="6191931"/>
            <a:chExt cx="396350" cy="466295"/>
          </a:xfrm>
        </xdr:grpSpPr>
        <xdr:sp macro="" textlink="">
          <xdr:nvSpPr>
            <xdr:cNvPr id="1306" name="台形 1305"/>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07" name="台形 1306"/>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308" name="直線コネクタ 1307"/>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09" name="直線コネクタ 1308"/>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0" name="直線コネクタ 1309"/>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1" name="直線コネクタ 1310"/>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2" name="直線コネクタ 1311"/>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3" name="直線コネクタ 1312"/>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14" name="直線コネクタ 1313"/>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315" name="グループ化 1314"/>
            <xdr:cNvGrpSpPr/>
          </xdr:nvGrpSpPr>
          <xdr:grpSpPr>
            <a:xfrm rot="5400000">
              <a:off x="3220358" y="6373338"/>
              <a:ext cx="274658" cy="295117"/>
              <a:chOff x="1100474" y="8541778"/>
              <a:chExt cx="354609" cy="381026"/>
            </a:xfrm>
          </xdr:grpSpPr>
          <xdr:cxnSp macro="">
            <xdr:nvCxnSpPr>
              <xdr:cNvPr id="1316" name="曲線コネクタ 1315"/>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317" name="曲線コネクタ 1316"/>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318" name="曲線コネクタ 1317"/>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158</xdr:row>
      <xdr:rowOff>4767</xdr:rowOff>
    </xdr:from>
    <xdr:to>
      <xdr:col>18</xdr:col>
      <xdr:colOff>610062</xdr:colOff>
      <xdr:row>160</xdr:row>
      <xdr:rowOff>388341</xdr:rowOff>
    </xdr:to>
    <xdr:sp macro="" textlink="">
      <xdr:nvSpPr>
        <xdr:cNvPr id="1321" name="角丸四角形 1320"/>
        <xdr:cNvSpPr/>
      </xdr:nvSpPr>
      <xdr:spPr>
        <a:xfrm>
          <a:off x="5920523" y="42086217"/>
          <a:ext cx="1318939" cy="129797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158</xdr:row>
      <xdr:rowOff>194592</xdr:rowOff>
    </xdr:from>
    <xdr:to>
      <xdr:col>18</xdr:col>
      <xdr:colOff>498381</xdr:colOff>
      <xdr:row>159</xdr:row>
      <xdr:rowOff>227519</xdr:rowOff>
    </xdr:to>
    <xdr:grpSp>
      <xdr:nvGrpSpPr>
        <xdr:cNvPr id="1325" name="グループ化 1324"/>
        <xdr:cNvGrpSpPr/>
      </xdr:nvGrpSpPr>
      <xdr:grpSpPr>
        <a:xfrm>
          <a:off x="6404278" y="42160621"/>
          <a:ext cx="739191" cy="492369"/>
          <a:chOff x="15865410" y="6040532"/>
          <a:chExt cx="531149" cy="361912"/>
        </a:xfrm>
      </xdr:grpSpPr>
      <xdr:sp macro="" textlink="">
        <xdr:nvSpPr>
          <xdr:cNvPr id="1326" name="台形 1325"/>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27" name="台形 1326"/>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28" name="台形 1327"/>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29" name="台形 1328"/>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330" name="直線コネクタ 1329"/>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331" name="直線矢印コネクタ 1330"/>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332" name="直線コネクタ 1331"/>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184</xdr:row>
      <xdr:rowOff>22843</xdr:rowOff>
    </xdr:from>
    <xdr:to>
      <xdr:col>19</xdr:col>
      <xdr:colOff>0</xdr:colOff>
      <xdr:row>185</xdr:row>
      <xdr:rowOff>31039</xdr:rowOff>
    </xdr:to>
    <xdr:sp macro="" textlink="">
      <xdr:nvSpPr>
        <xdr:cNvPr id="1333" name="正方形/長方形 1332"/>
        <xdr:cNvSpPr/>
      </xdr:nvSpPr>
      <xdr:spPr>
        <a:xfrm>
          <a:off x="4290905" y="48409843"/>
          <a:ext cx="2948095" cy="317759"/>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4666</xdr:colOff>
      <xdr:row>174</xdr:row>
      <xdr:rowOff>16119</xdr:rowOff>
    </xdr:from>
    <xdr:to>
      <xdr:col>19</xdr:col>
      <xdr:colOff>0</xdr:colOff>
      <xdr:row>175</xdr:row>
      <xdr:rowOff>24316</xdr:rowOff>
    </xdr:to>
    <xdr:sp macro="" textlink="">
      <xdr:nvSpPr>
        <xdr:cNvPr id="1334" name="正方形/長方形 1333"/>
        <xdr:cNvSpPr/>
      </xdr:nvSpPr>
      <xdr:spPr>
        <a:xfrm>
          <a:off x="4314729" y="46045682"/>
          <a:ext cx="2924271" cy="317759"/>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77564</xdr:colOff>
      <xdr:row>175</xdr:row>
      <xdr:rowOff>139811</xdr:rowOff>
    </xdr:from>
    <xdr:to>
      <xdr:col>15</xdr:col>
      <xdr:colOff>244710</xdr:colOff>
      <xdr:row>181</xdr:row>
      <xdr:rowOff>185936</xdr:rowOff>
    </xdr:to>
    <xdr:grpSp>
      <xdr:nvGrpSpPr>
        <xdr:cNvPr id="1335" name="グループ化 1334"/>
        <xdr:cNvGrpSpPr/>
      </xdr:nvGrpSpPr>
      <xdr:grpSpPr>
        <a:xfrm>
          <a:off x="4436652" y="46240811"/>
          <a:ext cx="1321352" cy="1312390"/>
          <a:chOff x="328402" y="476640"/>
          <a:chExt cx="1296144" cy="1296144"/>
        </a:xfrm>
      </xdr:grpSpPr>
      <xdr:sp macro="" textlink="">
        <xdr:nvSpPr>
          <xdr:cNvPr id="1336" name="角丸四角形 1335"/>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337" name="グループ化 1336"/>
          <xdr:cNvGrpSpPr/>
        </xdr:nvGrpSpPr>
        <xdr:grpSpPr>
          <a:xfrm>
            <a:off x="842964" y="671512"/>
            <a:ext cx="545307" cy="641538"/>
            <a:chOff x="3162860" y="6191931"/>
            <a:chExt cx="396350" cy="466295"/>
          </a:xfrm>
        </xdr:grpSpPr>
        <xdr:sp macro="" textlink="">
          <xdr:nvSpPr>
            <xdr:cNvPr id="1338" name="台形 1337"/>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39" name="台形 1338"/>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340" name="直線コネクタ 1339"/>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1" name="直線コネクタ 1340"/>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2" name="直線コネクタ 1341"/>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3" name="直線コネクタ 1342"/>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4" name="直線コネクタ 1343"/>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5" name="直線コネクタ 1344"/>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46" name="直線コネクタ 1345"/>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347" name="グループ化 1346"/>
            <xdr:cNvGrpSpPr/>
          </xdr:nvGrpSpPr>
          <xdr:grpSpPr>
            <a:xfrm rot="5400000">
              <a:off x="3220358" y="6373338"/>
              <a:ext cx="274658" cy="295117"/>
              <a:chOff x="1100474" y="8541778"/>
              <a:chExt cx="354609" cy="381026"/>
            </a:xfrm>
          </xdr:grpSpPr>
          <xdr:cxnSp macro="">
            <xdr:nvCxnSpPr>
              <xdr:cNvPr id="1348" name="曲線コネクタ 1347"/>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349" name="曲線コネクタ 1348"/>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350" name="曲線コネクタ 1349"/>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175</xdr:row>
      <xdr:rowOff>139811</xdr:rowOff>
    </xdr:from>
    <xdr:to>
      <xdr:col>18</xdr:col>
      <xdr:colOff>610062</xdr:colOff>
      <xdr:row>181</xdr:row>
      <xdr:rowOff>185936</xdr:rowOff>
    </xdr:to>
    <xdr:sp macro="" textlink="">
      <xdr:nvSpPr>
        <xdr:cNvPr id="1351" name="角丸四角形 1350"/>
        <xdr:cNvSpPr/>
      </xdr:nvSpPr>
      <xdr:spPr>
        <a:xfrm>
          <a:off x="5877661" y="46478936"/>
          <a:ext cx="1328464" cy="1379625"/>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10</xdr:col>
      <xdr:colOff>77195</xdr:colOff>
      <xdr:row>183</xdr:row>
      <xdr:rowOff>187730</xdr:rowOff>
    </xdr:from>
    <xdr:to>
      <xdr:col>14</xdr:col>
      <xdr:colOff>278720</xdr:colOff>
      <xdr:row>184</xdr:row>
      <xdr:rowOff>305940</xdr:rowOff>
    </xdr:to>
    <xdr:sp macro="" textlink="">
      <xdr:nvSpPr>
        <xdr:cNvPr id="1357" name="テキスト ボックス 132"/>
        <xdr:cNvSpPr txBox="1"/>
      </xdr:nvSpPr>
      <xdr:spPr>
        <a:xfrm>
          <a:off x="4292008" y="48336605"/>
          <a:ext cx="1106400" cy="356335"/>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185</xdr:row>
      <xdr:rowOff>139813</xdr:rowOff>
    </xdr:from>
    <xdr:to>
      <xdr:col>15</xdr:col>
      <xdr:colOff>244710</xdr:colOff>
      <xdr:row>188</xdr:row>
      <xdr:rowOff>387641</xdr:rowOff>
    </xdr:to>
    <xdr:grpSp>
      <xdr:nvGrpSpPr>
        <xdr:cNvPr id="1358" name="グループ化 1357"/>
        <xdr:cNvGrpSpPr/>
      </xdr:nvGrpSpPr>
      <xdr:grpSpPr>
        <a:xfrm>
          <a:off x="4436652" y="48493195"/>
          <a:ext cx="1321352" cy="1312387"/>
          <a:chOff x="328402" y="476640"/>
          <a:chExt cx="1296144" cy="1296144"/>
        </a:xfrm>
      </xdr:grpSpPr>
      <xdr:sp macro="" textlink="">
        <xdr:nvSpPr>
          <xdr:cNvPr id="1359" name="角丸四角形 1358"/>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360" name="グループ化 1359"/>
          <xdr:cNvGrpSpPr/>
        </xdr:nvGrpSpPr>
        <xdr:grpSpPr>
          <a:xfrm>
            <a:off x="842964" y="671512"/>
            <a:ext cx="545307" cy="641538"/>
            <a:chOff x="3162860" y="6191931"/>
            <a:chExt cx="396350" cy="466295"/>
          </a:xfrm>
        </xdr:grpSpPr>
        <xdr:sp macro="" textlink="">
          <xdr:nvSpPr>
            <xdr:cNvPr id="1361" name="台形 1360"/>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62" name="台形 1361"/>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363" name="直線コネクタ 1362"/>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4" name="直線コネクタ 1363"/>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5" name="直線コネクタ 1364"/>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6" name="直線コネクタ 1365"/>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7" name="直線コネクタ 1366"/>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8" name="直線コネクタ 1367"/>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369" name="直線コネクタ 1368"/>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370" name="グループ化 1369"/>
            <xdr:cNvGrpSpPr/>
          </xdr:nvGrpSpPr>
          <xdr:grpSpPr>
            <a:xfrm rot="5400000">
              <a:off x="3220358" y="6373338"/>
              <a:ext cx="274658" cy="295117"/>
              <a:chOff x="1100474" y="8541778"/>
              <a:chExt cx="354609" cy="381026"/>
            </a:xfrm>
          </xdr:grpSpPr>
          <xdr:cxnSp macro="">
            <xdr:nvCxnSpPr>
              <xdr:cNvPr id="1371" name="曲線コネクタ 1370"/>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372" name="曲線コネクタ 1371"/>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373" name="曲線コネクタ 1372"/>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185</xdr:row>
      <xdr:rowOff>135736</xdr:rowOff>
    </xdr:from>
    <xdr:to>
      <xdr:col>18</xdr:col>
      <xdr:colOff>610062</xdr:colOff>
      <xdr:row>188</xdr:row>
      <xdr:rowOff>376435</xdr:rowOff>
    </xdr:to>
    <xdr:sp macro="" textlink="">
      <xdr:nvSpPr>
        <xdr:cNvPr id="1376" name="角丸四角形 1375"/>
        <xdr:cNvSpPr/>
      </xdr:nvSpPr>
      <xdr:spPr>
        <a:xfrm>
          <a:off x="5877661" y="48832299"/>
          <a:ext cx="1328464" cy="1288449"/>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176</xdr:row>
      <xdr:rowOff>193892</xdr:rowOff>
    </xdr:from>
    <xdr:to>
      <xdr:col>18</xdr:col>
      <xdr:colOff>498381</xdr:colOff>
      <xdr:row>179</xdr:row>
      <xdr:rowOff>13906</xdr:rowOff>
    </xdr:to>
    <xdr:grpSp>
      <xdr:nvGrpSpPr>
        <xdr:cNvPr id="1380" name="グループ化 1379"/>
        <xdr:cNvGrpSpPr/>
      </xdr:nvGrpSpPr>
      <xdr:grpSpPr>
        <a:xfrm>
          <a:off x="6404278" y="46440568"/>
          <a:ext cx="739191" cy="492367"/>
          <a:chOff x="15865410" y="6040532"/>
          <a:chExt cx="531149" cy="361912"/>
        </a:xfrm>
      </xdr:grpSpPr>
      <xdr:sp macro="" textlink="">
        <xdr:nvSpPr>
          <xdr:cNvPr id="1381" name="台形 1380"/>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82" name="台形 1381"/>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83" name="台形 1382"/>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84" name="台形 1383"/>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385" name="直線コネクタ 1384"/>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386" name="直線矢印コネクタ 1385"/>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387" name="直線コネクタ 1386"/>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128984</xdr:colOff>
      <xdr:row>186</xdr:row>
      <xdr:rowOff>182688</xdr:rowOff>
    </xdr:from>
    <xdr:to>
      <xdr:col>18</xdr:col>
      <xdr:colOff>498381</xdr:colOff>
      <xdr:row>187</xdr:row>
      <xdr:rowOff>215611</xdr:rowOff>
    </xdr:to>
    <xdr:grpSp>
      <xdr:nvGrpSpPr>
        <xdr:cNvPr id="1388" name="グループ化 1387"/>
        <xdr:cNvGrpSpPr/>
      </xdr:nvGrpSpPr>
      <xdr:grpSpPr>
        <a:xfrm>
          <a:off x="6404278" y="48681747"/>
          <a:ext cx="739191" cy="492364"/>
          <a:chOff x="15865410" y="6040532"/>
          <a:chExt cx="531149" cy="361912"/>
        </a:xfrm>
      </xdr:grpSpPr>
      <xdr:sp macro="" textlink="">
        <xdr:nvSpPr>
          <xdr:cNvPr id="1389" name="台形 1388"/>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90" name="台形 1389"/>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91" name="台形 1390"/>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392" name="台形 1391"/>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393" name="直線コネクタ 1392"/>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394" name="直線矢印コネクタ 1393"/>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395" name="直線コネクタ 1394"/>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191</xdr:row>
      <xdr:rowOff>34049</xdr:rowOff>
    </xdr:from>
    <xdr:to>
      <xdr:col>19</xdr:col>
      <xdr:colOff>0</xdr:colOff>
      <xdr:row>192</xdr:row>
      <xdr:rowOff>42245</xdr:rowOff>
    </xdr:to>
    <xdr:sp macro="" textlink="">
      <xdr:nvSpPr>
        <xdr:cNvPr id="1396" name="正方形/長方形 1395"/>
        <xdr:cNvSpPr/>
      </xdr:nvSpPr>
      <xdr:spPr>
        <a:xfrm>
          <a:off x="4290905" y="50707049"/>
          <a:ext cx="2948095" cy="317759"/>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190</xdr:row>
      <xdr:rowOff>198935</xdr:rowOff>
    </xdr:from>
    <xdr:to>
      <xdr:col>14</xdr:col>
      <xdr:colOff>278720</xdr:colOff>
      <xdr:row>192</xdr:row>
      <xdr:rowOff>7583</xdr:rowOff>
    </xdr:to>
    <xdr:sp macro="" textlink="">
      <xdr:nvSpPr>
        <xdr:cNvPr id="1397" name="テキスト ボックス 132"/>
        <xdr:cNvSpPr txBox="1"/>
      </xdr:nvSpPr>
      <xdr:spPr>
        <a:xfrm>
          <a:off x="4292008" y="50633810"/>
          <a:ext cx="1106400" cy="356336"/>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192</xdr:row>
      <xdr:rowOff>135737</xdr:rowOff>
    </xdr:from>
    <xdr:to>
      <xdr:col>15</xdr:col>
      <xdr:colOff>244710</xdr:colOff>
      <xdr:row>195</xdr:row>
      <xdr:rowOff>376438</xdr:rowOff>
    </xdr:to>
    <xdr:grpSp>
      <xdr:nvGrpSpPr>
        <xdr:cNvPr id="1398" name="グループ化 1397"/>
        <xdr:cNvGrpSpPr/>
      </xdr:nvGrpSpPr>
      <xdr:grpSpPr>
        <a:xfrm>
          <a:off x="4436652" y="50775119"/>
          <a:ext cx="1321352" cy="1305260"/>
          <a:chOff x="328402" y="476640"/>
          <a:chExt cx="1296144" cy="1296144"/>
        </a:xfrm>
      </xdr:grpSpPr>
      <xdr:sp macro="" textlink="">
        <xdr:nvSpPr>
          <xdr:cNvPr id="1399" name="角丸四角形 1398"/>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400" name="グループ化 1399"/>
          <xdr:cNvGrpSpPr/>
        </xdr:nvGrpSpPr>
        <xdr:grpSpPr>
          <a:xfrm>
            <a:off x="842964" y="671512"/>
            <a:ext cx="545307" cy="641538"/>
            <a:chOff x="3162860" y="6191931"/>
            <a:chExt cx="396350" cy="466295"/>
          </a:xfrm>
        </xdr:grpSpPr>
        <xdr:sp macro="" textlink="">
          <xdr:nvSpPr>
            <xdr:cNvPr id="1401" name="台形 1400"/>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402" name="台形 1401"/>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403" name="直線コネクタ 1402"/>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4" name="直線コネクタ 1403"/>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5" name="直線コネクタ 1404"/>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6" name="直線コネクタ 1405"/>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7" name="直線コネクタ 1406"/>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8" name="直線コネクタ 1407"/>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09" name="直線コネクタ 1408"/>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410" name="グループ化 1409"/>
            <xdr:cNvGrpSpPr/>
          </xdr:nvGrpSpPr>
          <xdr:grpSpPr>
            <a:xfrm rot="5400000">
              <a:off x="3220358" y="6373338"/>
              <a:ext cx="274658" cy="295117"/>
              <a:chOff x="1100474" y="8541778"/>
              <a:chExt cx="354609" cy="381026"/>
            </a:xfrm>
          </xdr:grpSpPr>
          <xdr:cxnSp macro="">
            <xdr:nvCxnSpPr>
              <xdr:cNvPr id="1411" name="曲線コネクタ 1410"/>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412" name="曲線コネクタ 1411"/>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413" name="曲線コネクタ 1412"/>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192</xdr:row>
      <xdr:rowOff>135736</xdr:rowOff>
    </xdr:from>
    <xdr:to>
      <xdr:col>18</xdr:col>
      <xdr:colOff>610062</xdr:colOff>
      <xdr:row>195</xdr:row>
      <xdr:rowOff>376437</xdr:rowOff>
    </xdr:to>
    <xdr:sp macro="" textlink="">
      <xdr:nvSpPr>
        <xdr:cNvPr id="1416" name="角丸四角形 1415"/>
        <xdr:cNvSpPr/>
      </xdr:nvSpPr>
      <xdr:spPr>
        <a:xfrm>
          <a:off x="5877661" y="51118299"/>
          <a:ext cx="1328464" cy="1288451"/>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193</xdr:row>
      <xdr:rowOff>182686</xdr:rowOff>
    </xdr:from>
    <xdr:to>
      <xdr:col>18</xdr:col>
      <xdr:colOff>498381</xdr:colOff>
      <xdr:row>194</xdr:row>
      <xdr:rowOff>215611</xdr:rowOff>
    </xdr:to>
    <xdr:grpSp>
      <xdr:nvGrpSpPr>
        <xdr:cNvPr id="1420" name="グループ化 1419"/>
        <xdr:cNvGrpSpPr/>
      </xdr:nvGrpSpPr>
      <xdr:grpSpPr>
        <a:xfrm>
          <a:off x="6404278" y="50967745"/>
          <a:ext cx="739191" cy="492366"/>
          <a:chOff x="15865410" y="6040532"/>
          <a:chExt cx="531149" cy="361912"/>
        </a:xfrm>
      </xdr:grpSpPr>
      <xdr:sp macro="" textlink="">
        <xdr:nvSpPr>
          <xdr:cNvPr id="1421" name="台形 1420"/>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422" name="台形 1421"/>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423" name="台形 1422"/>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424" name="台形 1423"/>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425" name="直線コネクタ 1424"/>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426" name="直線矢印コネクタ 1425"/>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427" name="直線コネクタ 1426"/>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76092</xdr:colOff>
      <xdr:row>198</xdr:row>
      <xdr:rowOff>22844</xdr:rowOff>
    </xdr:from>
    <xdr:to>
      <xdr:col>19</xdr:col>
      <xdr:colOff>0</xdr:colOff>
      <xdr:row>199</xdr:row>
      <xdr:rowOff>31040</xdr:rowOff>
    </xdr:to>
    <xdr:sp macro="" textlink="">
      <xdr:nvSpPr>
        <xdr:cNvPr id="1428" name="正方形/長方形 1427"/>
        <xdr:cNvSpPr/>
      </xdr:nvSpPr>
      <xdr:spPr>
        <a:xfrm>
          <a:off x="4290905" y="52981844"/>
          <a:ext cx="2948095" cy="317759"/>
        </a:xfrm>
        <a:prstGeom prst="rect">
          <a:avLst/>
        </a:prstGeom>
        <a:solidFill>
          <a:srgbClr val="D4F4D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77195</xdr:colOff>
      <xdr:row>197</xdr:row>
      <xdr:rowOff>187729</xdr:rowOff>
    </xdr:from>
    <xdr:to>
      <xdr:col>14</xdr:col>
      <xdr:colOff>278720</xdr:colOff>
      <xdr:row>198</xdr:row>
      <xdr:rowOff>305941</xdr:rowOff>
    </xdr:to>
    <xdr:sp macro="" textlink="">
      <xdr:nvSpPr>
        <xdr:cNvPr id="1429" name="テキスト ボックス 132"/>
        <xdr:cNvSpPr txBox="1"/>
      </xdr:nvSpPr>
      <xdr:spPr>
        <a:xfrm>
          <a:off x="4292008" y="52908604"/>
          <a:ext cx="1106400" cy="356337"/>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xdr:twoCellAnchor>
    <xdr:from>
      <xdr:col>11</xdr:col>
      <xdr:colOff>77564</xdr:colOff>
      <xdr:row>199</xdr:row>
      <xdr:rowOff>135737</xdr:rowOff>
    </xdr:from>
    <xdr:to>
      <xdr:col>15</xdr:col>
      <xdr:colOff>244710</xdr:colOff>
      <xdr:row>202</xdr:row>
      <xdr:rowOff>376436</xdr:rowOff>
    </xdr:to>
    <xdr:grpSp>
      <xdr:nvGrpSpPr>
        <xdr:cNvPr id="1430" name="グループ化 1429"/>
        <xdr:cNvGrpSpPr/>
      </xdr:nvGrpSpPr>
      <xdr:grpSpPr>
        <a:xfrm>
          <a:off x="4436652" y="53061119"/>
          <a:ext cx="1321352" cy="1305258"/>
          <a:chOff x="328402" y="476640"/>
          <a:chExt cx="1296144" cy="1296144"/>
        </a:xfrm>
      </xdr:grpSpPr>
      <xdr:sp macro="" textlink="">
        <xdr:nvSpPr>
          <xdr:cNvPr id="1431" name="角丸四角形 1430"/>
          <xdr:cNvSpPr/>
        </xdr:nvSpPr>
        <xdr:spPr>
          <a:xfrm>
            <a:off x="328402" y="476640"/>
            <a:ext cx="1296144" cy="1296144"/>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grpSp>
        <xdr:nvGrpSpPr>
          <xdr:cNvPr id="1432" name="グループ化 1431"/>
          <xdr:cNvGrpSpPr/>
        </xdr:nvGrpSpPr>
        <xdr:grpSpPr>
          <a:xfrm>
            <a:off x="842964" y="671512"/>
            <a:ext cx="545307" cy="641538"/>
            <a:chOff x="3162860" y="6191931"/>
            <a:chExt cx="396350" cy="466295"/>
          </a:xfrm>
        </xdr:grpSpPr>
        <xdr:sp macro="" textlink="">
          <xdr:nvSpPr>
            <xdr:cNvPr id="1433" name="台形 1432"/>
            <xdr:cNvSpPr/>
          </xdr:nvSpPr>
          <xdr:spPr>
            <a:xfrm flipV="1">
              <a:off x="3162860" y="6191931"/>
              <a:ext cx="396350" cy="150915"/>
            </a:xfrm>
            <a:prstGeom prst="trapezoid">
              <a:avLst>
                <a:gd name="adj" fmla="val 51586"/>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434" name="台形 1433"/>
            <xdr:cNvSpPr/>
          </xdr:nvSpPr>
          <xdr:spPr>
            <a:xfrm flipV="1">
              <a:off x="3222925" y="6238875"/>
              <a:ext cx="269875" cy="68262"/>
            </a:xfrm>
            <a:prstGeom prst="trapezoid">
              <a:avLst>
                <a:gd name="adj" fmla="val 45655"/>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435" name="直線コネクタ 1434"/>
            <xdr:cNvCxnSpPr/>
          </xdr:nvCxnSpPr>
          <xdr:spPr>
            <a:xfrm>
              <a:off x="3243279" y="6215930"/>
              <a:ext cx="233807" cy="0"/>
            </a:xfrm>
            <a:prstGeom prst="line">
              <a:avLst/>
            </a:prstGeom>
            <a:ln w="9525"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6" name="直線コネクタ 1435"/>
            <xdr:cNvCxnSpPr/>
          </xdr:nvCxnSpPr>
          <xdr:spPr>
            <a:xfrm>
              <a:off x="3285712" y="6324387"/>
              <a:ext cx="1440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7" name="直線コネクタ 1436"/>
            <xdr:cNvCxnSpPr/>
          </xdr:nvCxnSpPr>
          <xdr:spPr>
            <a:xfrm flipV="1">
              <a:off x="3474401" y="6231731"/>
              <a:ext cx="43269" cy="8654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8" name="直線コネクタ 1437"/>
            <xdr:cNvCxnSpPr/>
          </xdr:nvCxnSpPr>
          <xdr:spPr>
            <a:xfrm flipH="1" flipV="1">
              <a:off x="3202070" y="6233827"/>
              <a:ext cx="42137" cy="82715"/>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39" name="直線コネクタ 1438"/>
            <xdr:cNvCxnSpPr/>
          </xdr:nvCxnSpPr>
          <xdr:spPr>
            <a:xfrm>
              <a:off x="3253596" y="6256282"/>
              <a:ext cx="212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40" name="直線コネクタ 1439"/>
            <xdr:cNvCxnSpPr/>
          </xdr:nvCxnSpPr>
          <xdr:spPr>
            <a:xfrm>
              <a:off x="3263120" y="6272950"/>
              <a:ext cx="194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41" name="直線コネクタ 1440"/>
            <xdr:cNvCxnSpPr/>
          </xdr:nvCxnSpPr>
          <xdr:spPr>
            <a:xfrm>
              <a:off x="3272644" y="6289618"/>
              <a:ext cx="176400" cy="0"/>
            </a:xfrm>
            <a:prstGeom prst="line">
              <a:avLst/>
            </a:prstGeom>
            <a:ln w="6350" cap="rnd">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nvGrpSpPr>
            <xdr:cNvPr id="1442" name="グループ化 1441"/>
            <xdr:cNvGrpSpPr/>
          </xdr:nvGrpSpPr>
          <xdr:grpSpPr>
            <a:xfrm rot="5400000">
              <a:off x="3220358" y="6373338"/>
              <a:ext cx="274658" cy="295117"/>
              <a:chOff x="1100474" y="8541778"/>
              <a:chExt cx="354609" cy="381026"/>
            </a:xfrm>
          </xdr:grpSpPr>
          <xdr:cxnSp macro="">
            <xdr:nvCxnSpPr>
              <xdr:cNvPr id="1443" name="曲線コネクタ 1442"/>
              <xdr:cNvCxnSpPr/>
            </xdr:nvCxnSpPr>
            <xdr:spPr>
              <a:xfrm flipH="1" flipV="1">
                <a:off x="1100474" y="8884923"/>
                <a:ext cx="350130" cy="37881"/>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444" name="曲線コネクタ 1443"/>
              <xdr:cNvCxnSpPr/>
            </xdr:nvCxnSpPr>
            <xdr:spPr>
              <a:xfrm flipH="1" flipV="1">
                <a:off x="1104948" y="8717847"/>
                <a:ext cx="350135" cy="37883"/>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cxnSp macro="">
            <xdr:nvCxnSpPr>
              <xdr:cNvPr id="1445" name="曲線コネクタ 1444"/>
              <xdr:cNvCxnSpPr/>
            </xdr:nvCxnSpPr>
            <xdr:spPr>
              <a:xfrm flipH="1" flipV="1">
                <a:off x="1102714" y="8541778"/>
                <a:ext cx="350133" cy="37882"/>
              </a:xfrm>
              <a:prstGeom prst="curvedConnector3">
                <a:avLst>
                  <a:gd name="adj1" fmla="val 50000"/>
                </a:avLst>
              </a:prstGeom>
              <a:ln w="19050">
                <a:solidFill>
                  <a:srgbClr val="99CCFF"/>
                </a:solidFill>
                <a:headEnd type="triangle" w="med" len="med"/>
                <a:tailEnd type="none" w="sm" len="sm"/>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16</xdr:col>
      <xdr:colOff>91223</xdr:colOff>
      <xdr:row>199</xdr:row>
      <xdr:rowOff>135736</xdr:rowOff>
    </xdr:from>
    <xdr:to>
      <xdr:col>18</xdr:col>
      <xdr:colOff>610062</xdr:colOff>
      <xdr:row>202</xdr:row>
      <xdr:rowOff>376435</xdr:rowOff>
    </xdr:to>
    <xdr:sp macro="" textlink="">
      <xdr:nvSpPr>
        <xdr:cNvPr id="1448" name="角丸四角形 1447"/>
        <xdr:cNvSpPr/>
      </xdr:nvSpPr>
      <xdr:spPr>
        <a:xfrm>
          <a:off x="5877661" y="53404299"/>
          <a:ext cx="1328464" cy="1288449"/>
        </a:xfrm>
        <a:prstGeom prst="roundRect">
          <a:avLst>
            <a:gd name="adj" fmla="val 10232"/>
          </a:avLst>
        </a:prstGeom>
        <a:solidFill>
          <a:schemeClr val="bg1"/>
        </a:solid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lientData/>
  </xdr:twoCellAnchor>
  <xdr:twoCellAnchor>
    <xdr:from>
      <xdr:col>17</xdr:col>
      <xdr:colOff>128984</xdr:colOff>
      <xdr:row>200</xdr:row>
      <xdr:rowOff>182686</xdr:rowOff>
    </xdr:from>
    <xdr:to>
      <xdr:col>18</xdr:col>
      <xdr:colOff>498381</xdr:colOff>
      <xdr:row>201</xdr:row>
      <xdr:rowOff>215613</xdr:rowOff>
    </xdr:to>
    <xdr:grpSp>
      <xdr:nvGrpSpPr>
        <xdr:cNvPr id="1452" name="グループ化 1451"/>
        <xdr:cNvGrpSpPr/>
      </xdr:nvGrpSpPr>
      <xdr:grpSpPr>
        <a:xfrm>
          <a:off x="6404278" y="53253745"/>
          <a:ext cx="739191" cy="492368"/>
          <a:chOff x="15865410" y="6040532"/>
          <a:chExt cx="531149" cy="361912"/>
        </a:xfrm>
      </xdr:grpSpPr>
      <xdr:sp macro="" textlink="">
        <xdr:nvSpPr>
          <xdr:cNvPr id="1453" name="台形 1452"/>
          <xdr:cNvSpPr/>
        </xdr:nvSpPr>
        <xdr:spPr>
          <a:xfrm flipV="1">
            <a:off x="15932211" y="6040532"/>
            <a:ext cx="396984" cy="156366"/>
          </a:xfrm>
          <a:prstGeom prst="trapezoid">
            <a:avLst>
              <a:gd name="adj" fmla="val 46442"/>
            </a:avLst>
          </a:prstGeom>
          <a:solidFill>
            <a:schemeClr val="bg1"/>
          </a:solid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454" name="台形 1453"/>
          <xdr:cNvSpPr/>
        </xdr:nvSpPr>
        <xdr:spPr>
          <a:xfrm flipV="1">
            <a:off x="15966109" y="6058259"/>
            <a:ext cx="324000" cy="288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455" name="台形 1454"/>
          <xdr:cNvSpPr/>
        </xdr:nvSpPr>
        <xdr:spPr>
          <a:xfrm flipV="1">
            <a:off x="15995485" y="6101290"/>
            <a:ext cx="266400" cy="26561"/>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sp macro="" textlink="">
        <xdr:nvSpPr>
          <xdr:cNvPr id="1456" name="台形 1455"/>
          <xdr:cNvSpPr/>
        </xdr:nvSpPr>
        <xdr:spPr>
          <a:xfrm flipV="1">
            <a:off x="16016235" y="6146418"/>
            <a:ext cx="216000" cy="21600"/>
          </a:xfrm>
          <a:prstGeom prst="trapezoid">
            <a:avLst>
              <a:gd name="adj" fmla="val 58333"/>
            </a:avLst>
          </a:prstGeom>
          <a:gradFill flip="none" rotWithShape="1">
            <a:gsLst>
              <a:gs pos="0">
                <a:srgbClr val="FFFFCC"/>
              </a:gs>
              <a:gs pos="50000">
                <a:srgbClr val="FFFF99"/>
              </a:gs>
              <a:gs pos="100000">
                <a:srgbClr val="F0EA00"/>
              </a:gs>
            </a:gsLst>
            <a:lin ang="16200000" scaled="1"/>
            <a:tileRect/>
          </a:gradFill>
          <a:ln w="63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p>
        </xdr:txBody>
      </xdr:sp>
      <xdr:cxnSp macro="">
        <xdr:nvCxnSpPr>
          <xdr:cNvPr id="1457" name="直線コネクタ 1456"/>
          <xdr:cNvCxnSpPr/>
        </xdr:nvCxnSpPr>
        <xdr:spPr>
          <a:xfrm flipH="1">
            <a:off x="15865410" y="6227385"/>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458" name="直線矢印コネクタ 1457"/>
          <xdr:cNvCxnSpPr/>
        </xdr:nvCxnSpPr>
        <xdr:spPr>
          <a:xfrm flipH="1">
            <a:off x="16130636" y="6222424"/>
            <a:ext cx="120" cy="180020"/>
          </a:xfrm>
          <a:prstGeom prst="straightConnector1">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459" name="直線コネクタ 1458"/>
          <xdr:cNvCxnSpPr/>
        </xdr:nvCxnSpPr>
        <xdr:spPr>
          <a:xfrm>
            <a:off x="16261577" y="6227361"/>
            <a:ext cx="134982" cy="170907"/>
          </a:xfrm>
          <a:prstGeom prst="line">
            <a:avLst/>
          </a:prstGeom>
          <a:ln w="19050">
            <a:solidFill>
              <a:srgbClr val="F0EA00"/>
            </a:solidFill>
            <a:prstDash val="sysDot"/>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77195</xdr:colOff>
      <xdr:row>173</xdr:row>
      <xdr:rowOff>21341</xdr:rowOff>
    </xdr:from>
    <xdr:to>
      <xdr:col>14</xdr:col>
      <xdr:colOff>278720</xdr:colOff>
      <xdr:row>174</xdr:row>
      <xdr:rowOff>307640</xdr:rowOff>
    </xdr:to>
    <xdr:sp macro="" textlink="">
      <xdr:nvSpPr>
        <xdr:cNvPr id="1460" name="テキスト ボックス 132"/>
        <xdr:cNvSpPr txBox="1"/>
      </xdr:nvSpPr>
      <xdr:spPr>
        <a:xfrm>
          <a:off x="4292008" y="46003279"/>
          <a:ext cx="1106400" cy="333924"/>
        </a:xfrm>
        <a:prstGeom prst="rect">
          <a:avLst/>
        </a:prstGeom>
        <a:noFill/>
      </xdr:spPr>
      <xdr:txBody>
        <a:bodyPr wrap="square" tIns="7200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solidFill>
                <a:schemeClr val="tx1">
                  <a:lumMod val="75000"/>
                  <a:lumOff val="25000"/>
                </a:schemeClr>
              </a:solidFill>
              <a:latin typeface="メイリオ" pitchFamily="50" charset="-128"/>
              <a:ea typeface="メイリオ" pitchFamily="50" charset="-128"/>
              <a:cs typeface="メイリオ" pitchFamily="50" charset="-128"/>
            </a:rPr>
            <a:t>省エネ性能</a:t>
          </a:r>
        </a:p>
      </xdr:txBody>
    </xdr:sp>
    <xdr:clientData/>
  </xdr:twoCellAnchor>
  <mc:AlternateContent xmlns:mc="http://schemas.openxmlformats.org/markup-compatibility/2006">
    <mc:Choice xmlns:a14="http://schemas.microsoft.com/office/drawing/2010/main" Requires="a14">
      <xdr:twoCellAnchor editAs="oneCell">
        <xdr:from>
          <xdr:col>11</xdr:col>
          <xdr:colOff>142875</xdr:colOff>
          <xdr:row>10</xdr:row>
          <xdr:rowOff>209550</xdr:rowOff>
        </xdr:from>
        <xdr:to>
          <xdr:col>15</xdr:col>
          <xdr:colOff>142875</xdr:colOff>
          <xdr:row>13</xdr:row>
          <xdr:rowOff>0</xdr:rowOff>
        </xdr:to>
        <xdr:pic>
          <xdr:nvPicPr>
            <xdr:cNvPr id="257425" name="Picture 5"/>
            <xdr:cNvPicPr>
              <a:picLocks noChangeAspect="1" noChangeArrowheads="1"/>
              <a:extLst>
                <a:ext uri="{84589F7E-364E-4C9E-8A38-B11213B215E9}">
                  <a14:cameraTool cellRange="_1空調導入範囲" spid="_x0000_s257525"/>
                </a:ext>
              </a:extLst>
            </xdr:cNvPicPr>
          </xdr:nvPicPr>
          <xdr:blipFill>
            <a:blip xmlns:r="http://schemas.openxmlformats.org/officeDocument/2006/relationships" r:embed="rId1"/>
            <a:srcRect/>
            <a:stretch>
              <a:fillRect/>
            </a:stretch>
          </xdr:blipFill>
          <xdr:spPr bwMode="auto">
            <a:xfrm>
              <a:off x="4486275" y="2600325"/>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171450</xdr:rowOff>
        </xdr:from>
        <xdr:to>
          <xdr:col>19</xdr:col>
          <xdr:colOff>152400</xdr:colOff>
          <xdr:row>12</xdr:row>
          <xdr:rowOff>133350</xdr:rowOff>
        </xdr:to>
        <xdr:pic>
          <xdr:nvPicPr>
            <xdr:cNvPr id="257426" name="図 148"/>
            <xdr:cNvPicPr>
              <a:picLocks noChangeAspect="1" noChangeArrowheads="1"/>
              <a:extLst>
                <a:ext uri="{84589F7E-364E-4C9E-8A38-B11213B215E9}">
                  <a14:cameraTool cellRange="_1照明制御" spid="_x0000_s257526"/>
                </a:ext>
              </a:extLst>
            </xdr:cNvPicPr>
          </xdr:nvPicPr>
          <xdr:blipFill>
            <a:blip xmlns:r="http://schemas.openxmlformats.org/officeDocument/2006/relationships" r:embed="rId2"/>
            <a:srcRect/>
            <a:stretch>
              <a:fillRect/>
            </a:stretch>
          </xdr:blipFill>
          <xdr:spPr bwMode="auto">
            <a:xfrm>
              <a:off x="6276975" y="2333625"/>
              <a:ext cx="1152525" cy="647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xdr:row>
          <xdr:rowOff>9525</xdr:rowOff>
        </xdr:from>
        <xdr:to>
          <xdr:col>18</xdr:col>
          <xdr:colOff>514350</xdr:colOff>
          <xdr:row>13</xdr:row>
          <xdr:rowOff>28575</xdr:rowOff>
        </xdr:to>
        <xdr:pic>
          <xdr:nvPicPr>
            <xdr:cNvPr id="257427" name="Picture 7"/>
            <xdr:cNvPicPr>
              <a:picLocks noChangeAspect="1" noChangeArrowheads="1"/>
              <a:extLst>
                <a:ext uri="{84589F7E-364E-4C9E-8A38-B11213B215E9}">
                  <a14:cameraTool cellRange="_1照明導入範囲" spid="_x0000_s257527"/>
                </a:ext>
              </a:extLst>
            </xdr:cNvPicPr>
          </xdr:nvPicPr>
          <xdr:blipFill>
            <a:blip xmlns:r="http://schemas.openxmlformats.org/officeDocument/2006/relationships" r:embed="rId1"/>
            <a:srcRect/>
            <a:stretch>
              <a:fillRect/>
            </a:stretch>
          </xdr:blipFill>
          <xdr:spPr bwMode="auto">
            <a:xfrm>
              <a:off x="5991225" y="2628900"/>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xdr:row>
          <xdr:rowOff>66675</xdr:rowOff>
        </xdr:from>
        <xdr:to>
          <xdr:col>18</xdr:col>
          <xdr:colOff>104775</xdr:colOff>
          <xdr:row>12</xdr:row>
          <xdr:rowOff>152400</xdr:rowOff>
        </xdr:to>
        <xdr:pic>
          <xdr:nvPicPr>
            <xdr:cNvPr id="257428" name="図 144"/>
            <xdr:cNvPicPr>
              <a:picLocks noChangeAspect="1" noChangeArrowheads="1"/>
              <a:extLst>
                <a:ext uri="{84589F7E-364E-4C9E-8A38-B11213B215E9}">
                  <a14:cameraTool cellRange="_1星の数照明" spid="_x0000_s257528"/>
                </a:ext>
              </a:extLst>
            </xdr:cNvPicPr>
          </xdr:nvPicPr>
          <xdr:blipFill>
            <a:blip xmlns:r="http://schemas.openxmlformats.org/officeDocument/2006/relationships" r:embed="rId3"/>
            <a:srcRect/>
            <a:stretch>
              <a:fillRect/>
            </a:stretch>
          </xdr:blipFill>
          <xdr:spPr bwMode="auto">
            <a:xfrm>
              <a:off x="5581650" y="1771650"/>
              <a:ext cx="1152525" cy="1228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7</xdr:row>
          <xdr:rowOff>85725</xdr:rowOff>
        </xdr:from>
        <xdr:to>
          <xdr:col>14</xdr:col>
          <xdr:colOff>66675</xdr:colOff>
          <xdr:row>12</xdr:row>
          <xdr:rowOff>142875</xdr:rowOff>
        </xdr:to>
        <xdr:pic>
          <xdr:nvPicPr>
            <xdr:cNvPr id="257429" name="図 58"/>
            <xdr:cNvPicPr>
              <a:picLocks noChangeAspect="1" noChangeArrowheads="1"/>
              <a:extLst>
                <a:ext uri="{84589F7E-364E-4C9E-8A38-B11213B215E9}">
                  <a14:cameraTool cellRange="_1星の数空調" spid="_x0000_s257529"/>
                </a:ext>
              </a:extLst>
            </xdr:cNvPicPr>
          </xdr:nvPicPr>
          <xdr:blipFill>
            <a:blip xmlns:r="http://schemas.openxmlformats.org/officeDocument/2006/relationships" r:embed="rId3"/>
            <a:srcRect/>
            <a:stretch>
              <a:fillRect/>
            </a:stretch>
          </xdr:blipFill>
          <xdr:spPr bwMode="auto">
            <a:xfrm>
              <a:off x="4076700" y="1790700"/>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18</xdr:row>
          <xdr:rowOff>419100</xdr:rowOff>
        </xdr:from>
        <xdr:to>
          <xdr:col>15</xdr:col>
          <xdr:colOff>133350</xdr:colOff>
          <xdr:row>19</xdr:row>
          <xdr:rowOff>438150</xdr:rowOff>
        </xdr:to>
        <xdr:pic>
          <xdr:nvPicPr>
            <xdr:cNvPr id="257430" name="Picture 406"/>
            <xdr:cNvPicPr>
              <a:picLocks noChangeAspect="1" noChangeArrowheads="1"/>
              <a:extLst>
                <a:ext uri="{84589F7E-364E-4C9E-8A38-B11213B215E9}">
                  <a14:cameraTool cellRange="_2空調導入範囲" spid="_x0000_s257530"/>
                </a:ext>
              </a:extLst>
            </xdr:cNvPicPr>
          </xdr:nvPicPr>
          <xdr:blipFill>
            <a:blip xmlns:r="http://schemas.openxmlformats.org/officeDocument/2006/relationships" r:embed="rId4"/>
            <a:srcRect/>
            <a:stretch>
              <a:fillRect/>
            </a:stretch>
          </xdr:blipFill>
          <xdr:spPr bwMode="auto">
            <a:xfrm>
              <a:off x="4486275" y="4867275"/>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xdr:row>
          <xdr:rowOff>85725</xdr:rowOff>
        </xdr:from>
        <xdr:to>
          <xdr:col>14</xdr:col>
          <xdr:colOff>57150</xdr:colOff>
          <xdr:row>19</xdr:row>
          <xdr:rowOff>361950</xdr:rowOff>
        </xdr:to>
        <xdr:pic>
          <xdr:nvPicPr>
            <xdr:cNvPr id="257431" name="図 80"/>
            <xdr:cNvPicPr>
              <a:picLocks noChangeAspect="1" noChangeArrowheads="1"/>
              <a:extLst>
                <a:ext uri="{84589F7E-364E-4C9E-8A38-B11213B215E9}">
                  <a14:cameraTool cellRange="_2星の数空調" spid="_x0000_s257531"/>
                </a:ext>
              </a:extLst>
            </xdr:cNvPicPr>
          </xdr:nvPicPr>
          <xdr:blipFill>
            <a:blip xmlns:r="http://schemas.openxmlformats.org/officeDocument/2006/relationships" r:embed="rId3"/>
            <a:srcRect/>
            <a:stretch>
              <a:fillRect/>
            </a:stretch>
          </xdr:blipFill>
          <xdr:spPr bwMode="auto">
            <a:xfrm>
              <a:off x="4076700" y="4076700"/>
              <a:ext cx="1143000"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18</xdr:row>
          <xdr:rowOff>142875</xdr:rowOff>
        </xdr:from>
        <xdr:to>
          <xdr:col>19</xdr:col>
          <xdr:colOff>152400</xdr:colOff>
          <xdr:row>19</xdr:row>
          <xdr:rowOff>323850</xdr:rowOff>
        </xdr:to>
        <xdr:pic>
          <xdr:nvPicPr>
            <xdr:cNvPr id="257432" name="Picture 408"/>
            <xdr:cNvPicPr>
              <a:picLocks noChangeAspect="1" noChangeArrowheads="1"/>
              <a:extLst>
                <a:ext uri="{84589F7E-364E-4C9E-8A38-B11213B215E9}">
                  <a14:cameraTool cellRange="_2照明制御" spid="_x0000_s257532"/>
                </a:ext>
              </a:extLst>
            </xdr:cNvPicPr>
          </xdr:nvPicPr>
          <xdr:blipFill>
            <a:blip xmlns:r="http://schemas.openxmlformats.org/officeDocument/2006/relationships" r:embed="rId2"/>
            <a:srcRect/>
            <a:stretch>
              <a:fillRect/>
            </a:stretch>
          </xdr:blipFill>
          <xdr:spPr bwMode="auto">
            <a:xfrm>
              <a:off x="6276975" y="4591050"/>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xdr:row>
          <xdr:rowOff>438150</xdr:rowOff>
        </xdr:from>
        <xdr:to>
          <xdr:col>18</xdr:col>
          <xdr:colOff>504825</xdr:colOff>
          <xdr:row>19</xdr:row>
          <xdr:rowOff>447675</xdr:rowOff>
        </xdr:to>
        <xdr:pic>
          <xdr:nvPicPr>
            <xdr:cNvPr id="257433" name="Picture 409"/>
            <xdr:cNvPicPr>
              <a:picLocks noChangeAspect="1" noChangeArrowheads="1"/>
              <a:extLst>
                <a:ext uri="{84589F7E-364E-4C9E-8A38-B11213B215E9}">
                  <a14:cameraTool cellRange="_2照明導入範囲" spid="_x0000_s257533"/>
                </a:ext>
              </a:extLst>
            </xdr:cNvPicPr>
          </xdr:nvPicPr>
          <xdr:blipFill>
            <a:blip xmlns:r="http://schemas.openxmlformats.org/officeDocument/2006/relationships" r:embed="rId4"/>
            <a:srcRect/>
            <a:stretch>
              <a:fillRect/>
            </a:stretch>
          </xdr:blipFill>
          <xdr:spPr bwMode="auto">
            <a:xfrm>
              <a:off x="5991225" y="4886325"/>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17</xdr:row>
          <xdr:rowOff>57150</xdr:rowOff>
        </xdr:from>
        <xdr:to>
          <xdr:col>18</xdr:col>
          <xdr:colOff>104775</xdr:colOff>
          <xdr:row>19</xdr:row>
          <xdr:rowOff>342900</xdr:rowOff>
        </xdr:to>
        <xdr:pic>
          <xdr:nvPicPr>
            <xdr:cNvPr id="257434" name="Picture 410"/>
            <xdr:cNvPicPr>
              <a:picLocks noChangeAspect="1" noChangeArrowheads="1"/>
              <a:extLst>
                <a:ext uri="{84589F7E-364E-4C9E-8A38-B11213B215E9}">
                  <a14:cameraTool cellRange="_2星の数照明" spid="_x0000_s257534"/>
                </a:ext>
              </a:extLst>
            </xdr:cNvPicPr>
          </xdr:nvPicPr>
          <xdr:blipFill>
            <a:blip xmlns:r="http://schemas.openxmlformats.org/officeDocument/2006/relationships" r:embed="rId3"/>
            <a:srcRect/>
            <a:stretch>
              <a:fillRect/>
            </a:stretch>
          </xdr:blipFill>
          <xdr:spPr bwMode="auto">
            <a:xfrm>
              <a:off x="5581650" y="4048125"/>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409575</xdr:rowOff>
        </xdr:from>
        <xdr:to>
          <xdr:col>15</xdr:col>
          <xdr:colOff>133350</xdr:colOff>
          <xdr:row>26</xdr:row>
          <xdr:rowOff>438150</xdr:rowOff>
        </xdr:to>
        <xdr:pic>
          <xdr:nvPicPr>
            <xdr:cNvPr id="257435" name="Picture 411"/>
            <xdr:cNvPicPr>
              <a:picLocks noChangeAspect="1" noChangeArrowheads="1"/>
              <a:extLst>
                <a:ext uri="{84589F7E-364E-4C9E-8A38-B11213B215E9}">
                  <a14:cameraTool cellRange="_3空調導入範囲" spid="_x0000_s257535"/>
                </a:ext>
              </a:extLst>
            </xdr:cNvPicPr>
          </xdr:nvPicPr>
          <xdr:blipFill>
            <a:blip xmlns:r="http://schemas.openxmlformats.org/officeDocument/2006/relationships" r:embed="rId4"/>
            <a:srcRect/>
            <a:stretch>
              <a:fillRect/>
            </a:stretch>
          </xdr:blipFill>
          <xdr:spPr bwMode="auto">
            <a:xfrm>
              <a:off x="4486275" y="7143750"/>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24</xdr:row>
          <xdr:rowOff>76200</xdr:rowOff>
        </xdr:from>
        <xdr:to>
          <xdr:col>14</xdr:col>
          <xdr:colOff>57150</xdr:colOff>
          <xdr:row>26</xdr:row>
          <xdr:rowOff>361950</xdr:rowOff>
        </xdr:to>
        <xdr:pic>
          <xdr:nvPicPr>
            <xdr:cNvPr id="257436" name="図 134"/>
            <xdr:cNvPicPr>
              <a:picLocks noChangeAspect="1" noChangeArrowheads="1"/>
              <a:extLst>
                <a:ext uri="{84589F7E-364E-4C9E-8A38-B11213B215E9}">
                  <a14:cameraTool cellRange="_3星の数空調" spid="_x0000_s257536"/>
                </a:ext>
              </a:extLst>
            </xdr:cNvPicPr>
          </xdr:nvPicPr>
          <xdr:blipFill>
            <a:blip xmlns:r="http://schemas.openxmlformats.org/officeDocument/2006/relationships" r:embed="rId3"/>
            <a:srcRect/>
            <a:stretch>
              <a:fillRect/>
            </a:stretch>
          </xdr:blipFill>
          <xdr:spPr bwMode="auto">
            <a:xfrm>
              <a:off x="4076700" y="6353175"/>
              <a:ext cx="1143000"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xdr:row>
          <xdr:rowOff>142875</xdr:rowOff>
        </xdr:from>
        <xdr:to>
          <xdr:col>19</xdr:col>
          <xdr:colOff>152400</xdr:colOff>
          <xdr:row>26</xdr:row>
          <xdr:rowOff>323850</xdr:rowOff>
        </xdr:to>
        <xdr:pic>
          <xdr:nvPicPr>
            <xdr:cNvPr id="257437" name="Picture 413"/>
            <xdr:cNvPicPr>
              <a:picLocks noChangeAspect="1" noChangeArrowheads="1"/>
              <a:extLst>
                <a:ext uri="{84589F7E-364E-4C9E-8A38-B11213B215E9}">
                  <a14:cameraTool cellRange="_3照明制御" spid="_x0000_s257537"/>
                </a:ext>
              </a:extLst>
            </xdr:cNvPicPr>
          </xdr:nvPicPr>
          <xdr:blipFill>
            <a:blip xmlns:r="http://schemas.openxmlformats.org/officeDocument/2006/relationships" r:embed="rId2"/>
            <a:srcRect/>
            <a:stretch>
              <a:fillRect/>
            </a:stretch>
          </xdr:blipFill>
          <xdr:spPr bwMode="auto">
            <a:xfrm>
              <a:off x="6276975" y="6877050"/>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25</xdr:row>
          <xdr:rowOff>438150</xdr:rowOff>
        </xdr:from>
        <xdr:to>
          <xdr:col>18</xdr:col>
          <xdr:colOff>504825</xdr:colOff>
          <xdr:row>26</xdr:row>
          <xdr:rowOff>447675</xdr:rowOff>
        </xdr:to>
        <xdr:pic>
          <xdr:nvPicPr>
            <xdr:cNvPr id="257438" name="Picture 414"/>
            <xdr:cNvPicPr>
              <a:picLocks noChangeAspect="1" noChangeArrowheads="1"/>
              <a:extLst>
                <a:ext uri="{84589F7E-364E-4C9E-8A38-B11213B215E9}">
                  <a14:cameraTool cellRange="_3照明導入範囲" spid="_x0000_s257538"/>
                </a:ext>
              </a:extLst>
            </xdr:cNvPicPr>
          </xdr:nvPicPr>
          <xdr:blipFill>
            <a:blip xmlns:r="http://schemas.openxmlformats.org/officeDocument/2006/relationships" r:embed="rId4"/>
            <a:srcRect/>
            <a:stretch>
              <a:fillRect/>
            </a:stretch>
          </xdr:blipFill>
          <xdr:spPr bwMode="auto">
            <a:xfrm>
              <a:off x="5991225" y="7172325"/>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24</xdr:row>
          <xdr:rowOff>57150</xdr:rowOff>
        </xdr:from>
        <xdr:to>
          <xdr:col>18</xdr:col>
          <xdr:colOff>104775</xdr:colOff>
          <xdr:row>26</xdr:row>
          <xdr:rowOff>342900</xdr:rowOff>
        </xdr:to>
        <xdr:pic>
          <xdr:nvPicPr>
            <xdr:cNvPr id="257439" name="Picture 415"/>
            <xdr:cNvPicPr>
              <a:picLocks noChangeAspect="1" noChangeArrowheads="1"/>
              <a:extLst>
                <a:ext uri="{84589F7E-364E-4C9E-8A38-B11213B215E9}">
                  <a14:cameraTool cellRange="_3星の数照明" spid="_x0000_s257539"/>
                </a:ext>
              </a:extLst>
            </xdr:cNvPicPr>
          </xdr:nvPicPr>
          <xdr:blipFill>
            <a:blip xmlns:r="http://schemas.openxmlformats.org/officeDocument/2006/relationships" r:embed="rId3"/>
            <a:srcRect/>
            <a:stretch>
              <a:fillRect/>
            </a:stretch>
          </xdr:blipFill>
          <xdr:spPr bwMode="auto">
            <a:xfrm>
              <a:off x="5581650" y="6334125"/>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409575</xdr:rowOff>
        </xdr:from>
        <xdr:to>
          <xdr:col>15</xdr:col>
          <xdr:colOff>133350</xdr:colOff>
          <xdr:row>33</xdr:row>
          <xdr:rowOff>438150</xdr:rowOff>
        </xdr:to>
        <xdr:pic>
          <xdr:nvPicPr>
            <xdr:cNvPr id="257440" name="Picture 416"/>
            <xdr:cNvPicPr>
              <a:picLocks noChangeAspect="1" noChangeArrowheads="1"/>
              <a:extLst>
                <a:ext uri="{84589F7E-364E-4C9E-8A38-B11213B215E9}">
                  <a14:cameraTool cellRange="_4空調導入範囲" spid="_x0000_s257540"/>
                </a:ext>
              </a:extLst>
            </xdr:cNvPicPr>
          </xdr:nvPicPr>
          <xdr:blipFill>
            <a:blip xmlns:r="http://schemas.openxmlformats.org/officeDocument/2006/relationships" r:embed="rId4"/>
            <a:srcRect/>
            <a:stretch>
              <a:fillRect/>
            </a:stretch>
          </xdr:blipFill>
          <xdr:spPr bwMode="auto">
            <a:xfrm>
              <a:off x="4486275" y="9429750"/>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31</xdr:row>
          <xdr:rowOff>76200</xdr:rowOff>
        </xdr:from>
        <xdr:to>
          <xdr:col>14</xdr:col>
          <xdr:colOff>57150</xdr:colOff>
          <xdr:row>33</xdr:row>
          <xdr:rowOff>361950</xdr:rowOff>
        </xdr:to>
        <xdr:pic>
          <xdr:nvPicPr>
            <xdr:cNvPr id="257441" name="図 179"/>
            <xdr:cNvPicPr>
              <a:picLocks noChangeAspect="1" noChangeArrowheads="1"/>
              <a:extLst>
                <a:ext uri="{84589F7E-364E-4C9E-8A38-B11213B215E9}">
                  <a14:cameraTool cellRange="_4星の数空調" spid="_x0000_s257541"/>
                </a:ext>
              </a:extLst>
            </xdr:cNvPicPr>
          </xdr:nvPicPr>
          <xdr:blipFill>
            <a:blip xmlns:r="http://schemas.openxmlformats.org/officeDocument/2006/relationships" r:embed="rId3"/>
            <a:srcRect/>
            <a:stretch>
              <a:fillRect/>
            </a:stretch>
          </xdr:blipFill>
          <xdr:spPr bwMode="auto">
            <a:xfrm>
              <a:off x="4076700" y="8639175"/>
              <a:ext cx="1143000"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32</xdr:row>
          <xdr:rowOff>142875</xdr:rowOff>
        </xdr:from>
        <xdr:to>
          <xdr:col>19</xdr:col>
          <xdr:colOff>152400</xdr:colOff>
          <xdr:row>33</xdr:row>
          <xdr:rowOff>323850</xdr:rowOff>
        </xdr:to>
        <xdr:pic>
          <xdr:nvPicPr>
            <xdr:cNvPr id="257442" name="Picture 418"/>
            <xdr:cNvPicPr>
              <a:picLocks noChangeAspect="1" noChangeArrowheads="1"/>
              <a:extLst>
                <a:ext uri="{84589F7E-364E-4C9E-8A38-B11213B215E9}">
                  <a14:cameraTool cellRange="_4照明制御" spid="_x0000_s257542"/>
                </a:ext>
              </a:extLst>
            </xdr:cNvPicPr>
          </xdr:nvPicPr>
          <xdr:blipFill>
            <a:blip xmlns:r="http://schemas.openxmlformats.org/officeDocument/2006/relationships" r:embed="rId2"/>
            <a:srcRect/>
            <a:stretch>
              <a:fillRect/>
            </a:stretch>
          </xdr:blipFill>
          <xdr:spPr bwMode="auto">
            <a:xfrm>
              <a:off x="6276975" y="9163050"/>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32</xdr:row>
          <xdr:rowOff>438150</xdr:rowOff>
        </xdr:from>
        <xdr:to>
          <xdr:col>18</xdr:col>
          <xdr:colOff>504825</xdr:colOff>
          <xdr:row>33</xdr:row>
          <xdr:rowOff>447675</xdr:rowOff>
        </xdr:to>
        <xdr:pic>
          <xdr:nvPicPr>
            <xdr:cNvPr id="257443" name="Picture 419"/>
            <xdr:cNvPicPr>
              <a:picLocks noChangeAspect="1" noChangeArrowheads="1"/>
              <a:extLst>
                <a:ext uri="{84589F7E-364E-4C9E-8A38-B11213B215E9}">
                  <a14:cameraTool cellRange="_4照明導入範囲" spid="_x0000_s257543"/>
                </a:ext>
              </a:extLst>
            </xdr:cNvPicPr>
          </xdr:nvPicPr>
          <xdr:blipFill>
            <a:blip xmlns:r="http://schemas.openxmlformats.org/officeDocument/2006/relationships" r:embed="rId4"/>
            <a:srcRect/>
            <a:stretch>
              <a:fillRect/>
            </a:stretch>
          </xdr:blipFill>
          <xdr:spPr bwMode="auto">
            <a:xfrm>
              <a:off x="5991225" y="9458325"/>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31</xdr:row>
          <xdr:rowOff>57150</xdr:rowOff>
        </xdr:from>
        <xdr:to>
          <xdr:col>18</xdr:col>
          <xdr:colOff>76200</xdr:colOff>
          <xdr:row>33</xdr:row>
          <xdr:rowOff>333375</xdr:rowOff>
        </xdr:to>
        <xdr:pic>
          <xdr:nvPicPr>
            <xdr:cNvPr id="257444" name="Picture 420"/>
            <xdr:cNvPicPr>
              <a:picLocks noChangeAspect="1" noChangeArrowheads="1"/>
              <a:extLst>
                <a:ext uri="{84589F7E-364E-4C9E-8A38-B11213B215E9}">
                  <a14:cameraTool cellRange="_4星の数照明" spid="_x0000_s257544"/>
                </a:ext>
              </a:extLst>
            </xdr:cNvPicPr>
          </xdr:nvPicPr>
          <xdr:blipFill>
            <a:blip xmlns:r="http://schemas.openxmlformats.org/officeDocument/2006/relationships" r:embed="rId3"/>
            <a:srcRect/>
            <a:stretch>
              <a:fillRect/>
            </a:stretch>
          </xdr:blipFill>
          <xdr:spPr bwMode="auto">
            <a:xfrm>
              <a:off x="5581650" y="8620125"/>
              <a:ext cx="1123950"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53</xdr:row>
          <xdr:rowOff>209550</xdr:rowOff>
        </xdr:from>
        <xdr:to>
          <xdr:col>15</xdr:col>
          <xdr:colOff>142875</xdr:colOff>
          <xdr:row>56</xdr:row>
          <xdr:rowOff>0</xdr:rowOff>
        </xdr:to>
        <xdr:pic>
          <xdr:nvPicPr>
            <xdr:cNvPr id="257445" name="Picture 421"/>
            <xdr:cNvPicPr>
              <a:picLocks noChangeAspect="1" noChangeArrowheads="1"/>
              <a:extLst>
                <a:ext uri="{84589F7E-364E-4C9E-8A38-B11213B215E9}">
                  <a14:cameraTool cellRange="_5空調導入範囲" spid="_x0000_s257545"/>
                </a:ext>
              </a:extLst>
            </xdr:cNvPicPr>
          </xdr:nvPicPr>
          <xdr:blipFill>
            <a:blip xmlns:r="http://schemas.openxmlformats.org/officeDocument/2006/relationships" r:embed="rId4"/>
            <a:srcRect/>
            <a:stretch>
              <a:fillRect/>
            </a:stretch>
          </xdr:blipFill>
          <xdr:spPr bwMode="auto">
            <a:xfrm>
              <a:off x="4486275" y="13868400"/>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52</xdr:row>
          <xdr:rowOff>171450</xdr:rowOff>
        </xdr:from>
        <xdr:to>
          <xdr:col>19</xdr:col>
          <xdr:colOff>152400</xdr:colOff>
          <xdr:row>55</xdr:row>
          <xdr:rowOff>133350</xdr:rowOff>
        </xdr:to>
        <xdr:pic>
          <xdr:nvPicPr>
            <xdr:cNvPr id="257446" name="Picture 422"/>
            <xdr:cNvPicPr>
              <a:picLocks noChangeAspect="1" noChangeArrowheads="1"/>
              <a:extLst>
                <a:ext uri="{84589F7E-364E-4C9E-8A38-B11213B215E9}">
                  <a14:cameraTool cellRange="_5照明制御" spid="_x0000_s257546"/>
                </a:ext>
              </a:extLst>
            </xdr:cNvPicPr>
          </xdr:nvPicPr>
          <xdr:blipFill>
            <a:blip xmlns:r="http://schemas.openxmlformats.org/officeDocument/2006/relationships" r:embed="rId2"/>
            <a:srcRect/>
            <a:stretch>
              <a:fillRect/>
            </a:stretch>
          </xdr:blipFill>
          <xdr:spPr bwMode="auto">
            <a:xfrm>
              <a:off x="6276975" y="13601700"/>
              <a:ext cx="1152525" cy="647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54</xdr:row>
          <xdr:rowOff>9525</xdr:rowOff>
        </xdr:from>
        <xdr:to>
          <xdr:col>18</xdr:col>
          <xdr:colOff>514350</xdr:colOff>
          <xdr:row>56</xdr:row>
          <xdr:rowOff>28575</xdr:rowOff>
        </xdr:to>
        <xdr:pic>
          <xdr:nvPicPr>
            <xdr:cNvPr id="257447" name="Picture 423"/>
            <xdr:cNvPicPr>
              <a:picLocks noChangeAspect="1" noChangeArrowheads="1"/>
              <a:extLst>
                <a:ext uri="{84589F7E-364E-4C9E-8A38-B11213B215E9}">
                  <a14:cameraTool cellRange="_5照明導入範囲" spid="_x0000_s257547"/>
                </a:ext>
              </a:extLst>
            </xdr:cNvPicPr>
          </xdr:nvPicPr>
          <xdr:blipFill>
            <a:blip xmlns:r="http://schemas.openxmlformats.org/officeDocument/2006/relationships" r:embed="rId4"/>
            <a:srcRect/>
            <a:stretch>
              <a:fillRect/>
            </a:stretch>
          </xdr:blipFill>
          <xdr:spPr bwMode="auto">
            <a:xfrm>
              <a:off x="5991225" y="13896975"/>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50</xdr:row>
          <xdr:rowOff>66675</xdr:rowOff>
        </xdr:from>
        <xdr:to>
          <xdr:col>18</xdr:col>
          <xdr:colOff>104775</xdr:colOff>
          <xdr:row>55</xdr:row>
          <xdr:rowOff>152400</xdr:rowOff>
        </xdr:to>
        <xdr:pic>
          <xdr:nvPicPr>
            <xdr:cNvPr id="257448" name="Picture 424"/>
            <xdr:cNvPicPr>
              <a:picLocks noChangeAspect="1" noChangeArrowheads="1"/>
              <a:extLst>
                <a:ext uri="{84589F7E-364E-4C9E-8A38-B11213B215E9}">
                  <a14:cameraTool cellRange="_5星の数照明" spid="_x0000_s257548"/>
                </a:ext>
              </a:extLst>
            </xdr:cNvPicPr>
          </xdr:nvPicPr>
          <xdr:blipFill>
            <a:blip xmlns:r="http://schemas.openxmlformats.org/officeDocument/2006/relationships" r:embed="rId3"/>
            <a:srcRect/>
            <a:stretch>
              <a:fillRect/>
            </a:stretch>
          </xdr:blipFill>
          <xdr:spPr bwMode="auto">
            <a:xfrm>
              <a:off x="5581650" y="13039725"/>
              <a:ext cx="1152525" cy="1228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50</xdr:row>
          <xdr:rowOff>85725</xdr:rowOff>
        </xdr:from>
        <xdr:to>
          <xdr:col>14</xdr:col>
          <xdr:colOff>66675</xdr:colOff>
          <xdr:row>55</xdr:row>
          <xdr:rowOff>142875</xdr:rowOff>
        </xdr:to>
        <xdr:pic>
          <xdr:nvPicPr>
            <xdr:cNvPr id="257449" name="図 828"/>
            <xdr:cNvPicPr>
              <a:picLocks noChangeAspect="1" noChangeArrowheads="1"/>
              <a:extLst>
                <a:ext uri="{84589F7E-364E-4C9E-8A38-B11213B215E9}">
                  <a14:cameraTool cellRange="_5星の数空調" spid="_x0000_s257549"/>
                </a:ext>
              </a:extLst>
            </xdr:cNvPicPr>
          </xdr:nvPicPr>
          <xdr:blipFill>
            <a:blip xmlns:r="http://schemas.openxmlformats.org/officeDocument/2006/relationships" r:embed="rId3"/>
            <a:srcRect/>
            <a:stretch>
              <a:fillRect/>
            </a:stretch>
          </xdr:blipFill>
          <xdr:spPr bwMode="auto">
            <a:xfrm>
              <a:off x="4076700" y="13058775"/>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61</xdr:row>
          <xdr:rowOff>419100</xdr:rowOff>
        </xdr:from>
        <xdr:to>
          <xdr:col>15</xdr:col>
          <xdr:colOff>133350</xdr:colOff>
          <xdr:row>62</xdr:row>
          <xdr:rowOff>438150</xdr:rowOff>
        </xdr:to>
        <xdr:pic>
          <xdr:nvPicPr>
            <xdr:cNvPr id="257450" name="Picture 426"/>
            <xdr:cNvPicPr>
              <a:picLocks noChangeAspect="1" noChangeArrowheads="1"/>
              <a:extLst>
                <a:ext uri="{84589F7E-364E-4C9E-8A38-B11213B215E9}">
                  <a14:cameraTool cellRange="_6空調導入範囲" spid="_x0000_s257550"/>
                </a:ext>
              </a:extLst>
            </xdr:cNvPicPr>
          </xdr:nvPicPr>
          <xdr:blipFill>
            <a:blip xmlns:r="http://schemas.openxmlformats.org/officeDocument/2006/relationships" r:embed="rId4"/>
            <a:srcRect/>
            <a:stretch>
              <a:fillRect/>
            </a:stretch>
          </xdr:blipFill>
          <xdr:spPr bwMode="auto">
            <a:xfrm>
              <a:off x="4486275" y="1613535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60</xdr:row>
          <xdr:rowOff>85725</xdr:rowOff>
        </xdr:from>
        <xdr:to>
          <xdr:col>14</xdr:col>
          <xdr:colOff>57150</xdr:colOff>
          <xdr:row>62</xdr:row>
          <xdr:rowOff>361950</xdr:rowOff>
        </xdr:to>
        <xdr:pic>
          <xdr:nvPicPr>
            <xdr:cNvPr id="257451" name="図 847"/>
            <xdr:cNvPicPr>
              <a:picLocks noChangeAspect="1" noChangeArrowheads="1"/>
              <a:extLst>
                <a:ext uri="{84589F7E-364E-4C9E-8A38-B11213B215E9}">
                  <a14:cameraTool cellRange="_6星の数空調" spid="_x0000_s257551"/>
                </a:ext>
              </a:extLst>
            </xdr:cNvPicPr>
          </xdr:nvPicPr>
          <xdr:blipFill>
            <a:blip xmlns:r="http://schemas.openxmlformats.org/officeDocument/2006/relationships" r:embed="rId3"/>
            <a:srcRect/>
            <a:stretch>
              <a:fillRect/>
            </a:stretch>
          </xdr:blipFill>
          <xdr:spPr bwMode="auto">
            <a:xfrm>
              <a:off x="4076700" y="15344775"/>
              <a:ext cx="1143000"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61</xdr:row>
          <xdr:rowOff>142875</xdr:rowOff>
        </xdr:from>
        <xdr:to>
          <xdr:col>19</xdr:col>
          <xdr:colOff>152400</xdr:colOff>
          <xdr:row>62</xdr:row>
          <xdr:rowOff>323850</xdr:rowOff>
        </xdr:to>
        <xdr:pic>
          <xdr:nvPicPr>
            <xdr:cNvPr id="257452" name="Picture 428"/>
            <xdr:cNvPicPr>
              <a:picLocks noChangeAspect="1" noChangeArrowheads="1"/>
              <a:extLst>
                <a:ext uri="{84589F7E-364E-4C9E-8A38-B11213B215E9}">
                  <a14:cameraTool cellRange="_6照明制御" spid="_x0000_s257552"/>
                </a:ext>
              </a:extLst>
            </xdr:cNvPicPr>
          </xdr:nvPicPr>
          <xdr:blipFill>
            <a:blip xmlns:r="http://schemas.openxmlformats.org/officeDocument/2006/relationships" r:embed="rId2"/>
            <a:srcRect/>
            <a:stretch>
              <a:fillRect/>
            </a:stretch>
          </xdr:blipFill>
          <xdr:spPr bwMode="auto">
            <a:xfrm>
              <a:off x="6276975" y="158591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61</xdr:row>
          <xdr:rowOff>438150</xdr:rowOff>
        </xdr:from>
        <xdr:to>
          <xdr:col>18</xdr:col>
          <xdr:colOff>504825</xdr:colOff>
          <xdr:row>62</xdr:row>
          <xdr:rowOff>447675</xdr:rowOff>
        </xdr:to>
        <xdr:pic>
          <xdr:nvPicPr>
            <xdr:cNvPr id="257453" name="Picture 429"/>
            <xdr:cNvPicPr>
              <a:picLocks noChangeAspect="1" noChangeArrowheads="1"/>
              <a:extLst>
                <a:ext uri="{84589F7E-364E-4C9E-8A38-B11213B215E9}">
                  <a14:cameraTool cellRange="_6照明導入範囲" spid="_x0000_s257553"/>
                </a:ext>
              </a:extLst>
            </xdr:cNvPicPr>
          </xdr:nvPicPr>
          <xdr:blipFill>
            <a:blip xmlns:r="http://schemas.openxmlformats.org/officeDocument/2006/relationships" r:embed="rId4"/>
            <a:srcRect/>
            <a:stretch>
              <a:fillRect/>
            </a:stretch>
          </xdr:blipFill>
          <xdr:spPr bwMode="auto">
            <a:xfrm>
              <a:off x="5991225" y="16154400"/>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60</xdr:row>
          <xdr:rowOff>57150</xdr:rowOff>
        </xdr:from>
        <xdr:to>
          <xdr:col>18</xdr:col>
          <xdr:colOff>104775</xdr:colOff>
          <xdr:row>62</xdr:row>
          <xdr:rowOff>342900</xdr:rowOff>
        </xdr:to>
        <xdr:pic>
          <xdr:nvPicPr>
            <xdr:cNvPr id="257454" name="Picture 430"/>
            <xdr:cNvPicPr>
              <a:picLocks noChangeAspect="1" noChangeArrowheads="1"/>
              <a:extLst>
                <a:ext uri="{84589F7E-364E-4C9E-8A38-B11213B215E9}">
                  <a14:cameraTool cellRange="_6星の数照明" spid="_x0000_s257554"/>
                </a:ext>
              </a:extLst>
            </xdr:cNvPicPr>
          </xdr:nvPicPr>
          <xdr:blipFill>
            <a:blip xmlns:r="http://schemas.openxmlformats.org/officeDocument/2006/relationships" r:embed="rId3"/>
            <a:srcRect/>
            <a:stretch>
              <a:fillRect/>
            </a:stretch>
          </xdr:blipFill>
          <xdr:spPr bwMode="auto">
            <a:xfrm>
              <a:off x="5581650" y="15316200"/>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68</xdr:row>
          <xdr:rowOff>409575</xdr:rowOff>
        </xdr:from>
        <xdr:to>
          <xdr:col>15</xdr:col>
          <xdr:colOff>133350</xdr:colOff>
          <xdr:row>69</xdr:row>
          <xdr:rowOff>438150</xdr:rowOff>
        </xdr:to>
        <xdr:pic>
          <xdr:nvPicPr>
            <xdr:cNvPr id="257455" name="Picture 431"/>
            <xdr:cNvPicPr>
              <a:picLocks noChangeAspect="1" noChangeArrowheads="1"/>
              <a:extLst>
                <a:ext uri="{84589F7E-364E-4C9E-8A38-B11213B215E9}">
                  <a14:cameraTool cellRange="_7空調導入範囲" spid="_x0000_s257555"/>
                </a:ext>
              </a:extLst>
            </xdr:cNvPicPr>
          </xdr:nvPicPr>
          <xdr:blipFill>
            <a:blip xmlns:r="http://schemas.openxmlformats.org/officeDocument/2006/relationships" r:embed="rId4"/>
            <a:srcRect/>
            <a:stretch>
              <a:fillRect/>
            </a:stretch>
          </xdr:blipFill>
          <xdr:spPr bwMode="auto">
            <a:xfrm>
              <a:off x="4486275" y="18411825"/>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67</xdr:row>
          <xdr:rowOff>76200</xdr:rowOff>
        </xdr:from>
        <xdr:to>
          <xdr:col>14</xdr:col>
          <xdr:colOff>76200</xdr:colOff>
          <xdr:row>69</xdr:row>
          <xdr:rowOff>371475</xdr:rowOff>
        </xdr:to>
        <xdr:pic>
          <xdr:nvPicPr>
            <xdr:cNvPr id="257456" name="図 1031"/>
            <xdr:cNvPicPr>
              <a:picLocks noChangeAspect="1" noChangeArrowheads="1"/>
              <a:extLst>
                <a:ext uri="{84589F7E-364E-4C9E-8A38-B11213B215E9}">
                  <a14:cameraTool cellRange="_7星の数空調" spid="_x0000_s257556"/>
                </a:ext>
              </a:extLst>
            </xdr:cNvPicPr>
          </xdr:nvPicPr>
          <xdr:blipFill>
            <a:blip xmlns:r="http://schemas.openxmlformats.org/officeDocument/2006/relationships" r:embed="rId3"/>
            <a:srcRect/>
            <a:stretch>
              <a:fillRect/>
            </a:stretch>
          </xdr:blipFill>
          <xdr:spPr bwMode="auto">
            <a:xfrm>
              <a:off x="4076700" y="17621250"/>
              <a:ext cx="116205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68</xdr:row>
          <xdr:rowOff>142875</xdr:rowOff>
        </xdr:from>
        <xdr:to>
          <xdr:col>19</xdr:col>
          <xdr:colOff>152400</xdr:colOff>
          <xdr:row>69</xdr:row>
          <xdr:rowOff>323850</xdr:rowOff>
        </xdr:to>
        <xdr:pic>
          <xdr:nvPicPr>
            <xdr:cNvPr id="257457" name="Picture 433"/>
            <xdr:cNvPicPr>
              <a:picLocks noChangeAspect="1" noChangeArrowheads="1"/>
              <a:extLst>
                <a:ext uri="{84589F7E-364E-4C9E-8A38-B11213B215E9}">
                  <a14:cameraTool cellRange="_7照明制御" spid="_x0000_s257557"/>
                </a:ext>
              </a:extLst>
            </xdr:cNvPicPr>
          </xdr:nvPicPr>
          <xdr:blipFill>
            <a:blip xmlns:r="http://schemas.openxmlformats.org/officeDocument/2006/relationships" r:embed="rId2"/>
            <a:srcRect/>
            <a:stretch>
              <a:fillRect/>
            </a:stretch>
          </xdr:blipFill>
          <xdr:spPr bwMode="auto">
            <a:xfrm>
              <a:off x="6276975" y="181451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68</xdr:row>
          <xdr:rowOff>438150</xdr:rowOff>
        </xdr:from>
        <xdr:to>
          <xdr:col>18</xdr:col>
          <xdr:colOff>504825</xdr:colOff>
          <xdr:row>69</xdr:row>
          <xdr:rowOff>447675</xdr:rowOff>
        </xdr:to>
        <xdr:pic>
          <xdr:nvPicPr>
            <xdr:cNvPr id="257458" name="Picture 434"/>
            <xdr:cNvPicPr>
              <a:picLocks noChangeAspect="1" noChangeArrowheads="1"/>
              <a:extLst>
                <a:ext uri="{84589F7E-364E-4C9E-8A38-B11213B215E9}">
                  <a14:cameraTool cellRange="_7照明導入範囲" spid="_x0000_s257558"/>
                </a:ext>
              </a:extLst>
            </xdr:cNvPicPr>
          </xdr:nvPicPr>
          <xdr:blipFill>
            <a:blip xmlns:r="http://schemas.openxmlformats.org/officeDocument/2006/relationships" r:embed="rId4"/>
            <a:srcRect/>
            <a:stretch>
              <a:fillRect/>
            </a:stretch>
          </xdr:blipFill>
          <xdr:spPr bwMode="auto">
            <a:xfrm>
              <a:off x="5991225" y="18440400"/>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67</xdr:row>
          <xdr:rowOff>57150</xdr:rowOff>
        </xdr:from>
        <xdr:to>
          <xdr:col>18</xdr:col>
          <xdr:colOff>104775</xdr:colOff>
          <xdr:row>69</xdr:row>
          <xdr:rowOff>342900</xdr:rowOff>
        </xdr:to>
        <xdr:pic>
          <xdr:nvPicPr>
            <xdr:cNvPr id="257459" name="Picture 435"/>
            <xdr:cNvPicPr>
              <a:picLocks noChangeAspect="1" noChangeArrowheads="1"/>
              <a:extLst>
                <a:ext uri="{84589F7E-364E-4C9E-8A38-B11213B215E9}">
                  <a14:cameraTool cellRange="_7星の数照明" spid="_x0000_s257559"/>
                </a:ext>
              </a:extLst>
            </xdr:cNvPicPr>
          </xdr:nvPicPr>
          <xdr:blipFill>
            <a:blip xmlns:r="http://schemas.openxmlformats.org/officeDocument/2006/relationships" r:embed="rId3"/>
            <a:srcRect/>
            <a:stretch>
              <a:fillRect/>
            </a:stretch>
          </xdr:blipFill>
          <xdr:spPr bwMode="auto">
            <a:xfrm>
              <a:off x="5581650" y="17602200"/>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75</xdr:row>
          <xdr:rowOff>409575</xdr:rowOff>
        </xdr:from>
        <xdr:to>
          <xdr:col>15</xdr:col>
          <xdr:colOff>133350</xdr:colOff>
          <xdr:row>76</xdr:row>
          <xdr:rowOff>438150</xdr:rowOff>
        </xdr:to>
        <xdr:pic>
          <xdr:nvPicPr>
            <xdr:cNvPr id="257460" name="Picture 436"/>
            <xdr:cNvPicPr>
              <a:picLocks noChangeAspect="1" noChangeArrowheads="1"/>
              <a:extLst>
                <a:ext uri="{84589F7E-364E-4C9E-8A38-B11213B215E9}">
                  <a14:cameraTool cellRange="_8空調導入範囲" spid="_x0000_s257560"/>
                </a:ext>
              </a:extLst>
            </xdr:cNvPicPr>
          </xdr:nvPicPr>
          <xdr:blipFill>
            <a:blip xmlns:r="http://schemas.openxmlformats.org/officeDocument/2006/relationships" r:embed="rId4"/>
            <a:srcRect/>
            <a:stretch>
              <a:fillRect/>
            </a:stretch>
          </xdr:blipFill>
          <xdr:spPr bwMode="auto">
            <a:xfrm>
              <a:off x="4486275" y="20697825"/>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74</xdr:row>
          <xdr:rowOff>76200</xdr:rowOff>
        </xdr:from>
        <xdr:to>
          <xdr:col>14</xdr:col>
          <xdr:colOff>76200</xdr:colOff>
          <xdr:row>76</xdr:row>
          <xdr:rowOff>371475</xdr:rowOff>
        </xdr:to>
        <xdr:pic>
          <xdr:nvPicPr>
            <xdr:cNvPr id="257461" name="図 1063"/>
            <xdr:cNvPicPr>
              <a:picLocks noChangeAspect="1" noChangeArrowheads="1"/>
              <a:extLst>
                <a:ext uri="{84589F7E-364E-4C9E-8A38-B11213B215E9}">
                  <a14:cameraTool cellRange="_8星の数空調" spid="_x0000_s257561"/>
                </a:ext>
              </a:extLst>
            </xdr:cNvPicPr>
          </xdr:nvPicPr>
          <xdr:blipFill>
            <a:blip xmlns:r="http://schemas.openxmlformats.org/officeDocument/2006/relationships" r:embed="rId3"/>
            <a:srcRect/>
            <a:stretch>
              <a:fillRect/>
            </a:stretch>
          </xdr:blipFill>
          <xdr:spPr bwMode="auto">
            <a:xfrm>
              <a:off x="4076700" y="19907250"/>
              <a:ext cx="116205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75</xdr:row>
          <xdr:rowOff>142875</xdr:rowOff>
        </xdr:from>
        <xdr:to>
          <xdr:col>19</xdr:col>
          <xdr:colOff>152400</xdr:colOff>
          <xdr:row>76</xdr:row>
          <xdr:rowOff>323850</xdr:rowOff>
        </xdr:to>
        <xdr:pic>
          <xdr:nvPicPr>
            <xdr:cNvPr id="257462" name="Picture 438"/>
            <xdr:cNvPicPr>
              <a:picLocks noChangeAspect="1" noChangeArrowheads="1"/>
              <a:extLst>
                <a:ext uri="{84589F7E-364E-4C9E-8A38-B11213B215E9}">
                  <a14:cameraTool cellRange="_8照明制御" spid="_x0000_s257562"/>
                </a:ext>
              </a:extLst>
            </xdr:cNvPicPr>
          </xdr:nvPicPr>
          <xdr:blipFill>
            <a:blip xmlns:r="http://schemas.openxmlformats.org/officeDocument/2006/relationships" r:embed="rId2"/>
            <a:srcRect/>
            <a:stretch>
              <a:fillRect/>
            </a:stretch>
          </xdr:blipFill>
          <xdr:spPr bwMode="auto">
            <a:xfrm>
              <a:off x="6276975" y="204311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75</xdr:row>
          <xdr:rowOff>438150</xdr:rowOff>
        </xdr:from>
        <xdr:to>
          <xdr:col>18</xdr:col>
          <xdr:colOff>504825</xdr:colOff>
          <xdr:row>76</xdr:row>
          <xdr:rowOff>447675</xdr:rowOff>
        </xdr:to>
        <xdr:pic>
          <xdr:nvPicPr>
            <xdr:cNvPr id="257463" name="Picture 439"/>
            <xdr:cNvPicPr>
              <a:picLocks noChangeAspect="1" noChangeArrowheads="1"/>
              <a:extLst>
                <a:ext uri="{84589F7E-364E-4C9E-8A38-B11213B215E9}">
                  <a14:cameraTool cellRange="_8照明導入範囲" spid="_x0000_s257563"/>
                </a:ext>
              </a:extLst>
            </xdr:cNvPicPr>
          </xdr:nvPicPr>
          <xdr:blipFill>
            <a:blip xmlns:r="http://schemas.openxmlformats.org/officeDocument/2006/relationships" r:embed="rId4"/>
            <a:srcRect/>
            <a:stretch>
              <a:fillRect/>
            </a:stretch>
          </xdr:blipFill>
          <xdr:spPr bwMode="auto">
            <a:xfrm>
              <a:off x="5991225" y="20726400"/>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74</xdr:row>
          <xdr:rowOff>57150</xdr:rowOff>
        </xdr:from>
        <xdr:to>
          <xdr:col>18</xdr:col>
          <xdr:colOff>95250</xdr:colOff>
          <xdr:row>76</xdr:row>
          <xdr:rowOff>352425</xdr:rowOff>
        </xdr:to>
        <xdr:pic>
          <xdr:nvPicPr>
            <xdr:cNvPr id="257464" name="Picture 440"/>
            <xdr:cNvPicPr>
              <a:picLocks noChangeAspect="1" noChangeArrowheads="1"/>
              <a:extLst>
                <a:ext uri="{84589F7E-364E-4C9E-8A38-B11213B215E9}">
                  <a14:cameraTool cellRange="_8星の数照明" spid="_x0000_s257564"/>
                </a:ext>
              </a:extLst>
            </xdr:cNvPicPr>
          </xdr:nvPicPr>
          <xdr:blipFill>
            <a:blip xmlns:r="http://schemas.openxmlformats.org/officeDocument/2006/relationships" r:embed="rId3"/>
            <a:srcRect/>
            <a:stretch>
              <a:fillRect/>
            </a:stretch>
          </xdr:blipFill>
          <xdr:spPr bwMode="auto">
            <a:xfrm>
              <a:off x="5581650" y="19888200"/>
              <a:ext cx="114300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95</xdr:row>
          <xdr:rowOff>209550</xdr:rowOff>
        </xdr:from>
        <xdr:to>
          <xdr:col>15</xdr:col>
          <xdr:colOff>142875</xdr:colOff>
          <xdr:row>98</xdr:row>
          <xdr:rowOff>0</xdr:rowOff>
        </xdr:to>
        <xdr:pic>
          <xdr:nvPicPr>
            <xdr:cNvPr id="257465" name="Picture 441"/>
            <xdr:cNvPicPr>
              <a:picLocks noChangeAspect="1" noChangeArrowheads="1"/>
              <a:extLst>
                <a:ext uri="{84589F7E-364E-4C9E-8A38-B11213B215E9}">
                  <a14:cameraTool cellRange="_9空調導入範囲" spid="_x0000_s257565"/>
                </a:ext>
              </a:extLst>
            </xdr:cNvPicPr>
          </xdr:nvPicPr>
          <xdr:blipFill>
            <a:blip xmlns:r="http://schemas.openxmlformats.org/officeDocument/2006/relationships" r:embed="rId4"/>
            <a:srcRect/>
            <a:stretch>
              <a:fillRect/>
            </a:stretch>
          </xdr:blipFill>
          <xdr:spPr bwMode="auto">
            <a:xfrm>
              <a:off x="4486275" y="24993600"/>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94</xdr:row>
          <xdr:rowOff>171450</xdr:rowOff>
        </xdr:from>
        <xdr:to>
          <xdr:col>19</xdr:col>
          <xdr:colOff>152400</xdr:colOff>
          <xdr:row>97</xdr:row>
          <xdr:rowOff>133350</xdr:rowOff>
        </xdr:to>
        <xdr:pic>
          <xdr:nvPicPr>
            <xdr:cNvPr id="257466" name="Picture 442"/>
            <xdr:cNvPicPr>
              <a:picLocks noChangeAspect="1" noChangeArrowheads="1"/>
              <a:extLst>
                <a:ext uri="{84589F7E-364E-4C9E-8A38-B11213B215E9}">
                  <a14:cameraTool cellRange="_9照明制御" spid="_x0000_s257566"/>
                </a:ext>
              </a:extLst>
            </xdr:cNvPicPr>
          </xdr:nvPicPr>
          <xdr:blipFill>
            <a:blip xmlns:r="http://schemas.openxmlformats.org/officeDocument/2006/relationships" r:embed="rId2"/>
            <a:srcRect/>
            <a:stretch>
              <a:fillRect/>
            </a:stretch>
          </xdr:blipFill>
          <xdr:spPr bwMode="auto">
            <a:xfrm>
              <a:off x="6276975" y="24726900"/>
              <a:ext cx="1152525" cy="647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96</xdr:row>
          <xdr:rowOff>9525</xdr:rowOff>
        </xdr:from>
        <xdr:to>
          <xdr:col>18</xdr:col>
          <xdr:colOff>514350</xdr:colOff>
          <xdr:row>98</xdr:row>
          <xdr:rowOff>28575</xdr:rowOff>
        </xdr:to>
        <xdr:pic>
          <xdr:nvPicPr>
            <xdr:cNvPr id="257467" name="Picture 443"/>
            <xdr:cNvPicPr>
              <a:picLocks noChangeAspect="1" noChangeArrowheads="1"/>
              <a:extLst>
                <a:ext uri="{84589F7E-364E-4C9E-8A38-B11213B215E9}">
                  <a14:cameraTool cellRange="_9照明導入範囲" spid="_x0000_s257567"/>
                </a:ext>
              </a:extLst>
            </xdr:cNvPicPr>
          </xdr:nvPicPr>
          <xdr:blipFill>
            <a:blip xmlns:r="http://schemas.openxmlformats.org/officeDocument/2006/relationships" r:embed="rId4"/>
            <a:srcRect/>
            <a:stretch>
              <a:fillRect/>
            </a:stretch>
          </xdr:blipFill>
          <xdr:spPr bwMode="auto">
            <a:xfrm>
              <a:off x="5991225" y="25022175"/>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92</xdr:row>
          <xdr:rowOff>66675</xdr:rowOff>
        </xdr:from>
        <xdr:to>
          <xdr:col>18</xdr:col>
          <xdr:colOff>104775</xdr:colOff>
          <xdr:row>97</xdr:row>
          <xdr:rowOff>152400</xdr:rowOff>
        </xdr:to>
        <xdr:pic>
          <xdr:nvPicPr>
            <xdr:cNvPr id="257468" name="Picture 444"/>
            <xdr:cNvPicPr>
              <a:picLocks noChangeAspect="1" noChangeArrowheads="1"/>
              <a:extLst>
                <a:ext uri="{84589F7E-364E-4C9E-8A38-B11213B215E9}">
                  <a14:cameraTool cellRange="_9星の数照明" spid="_x0000_s257568"/>
                </a:ext>
              </a:extLst>
            </xdr:cNvPicPr>
          </xdr:nvPicPr>
          <xdr:blipFill>
            <a:blip xmlns:r="http://schemas.openxmlformats.org/officeDocument/2006/relationships" r:embed="rId3"/>
            <a:srcRect/>
            <a:stretch>
              <a:fillRect/>
            </a:stretch>
          </xdr:blipFill>
          <xdr:spPr bwMode="auto">
            <a:xfrm>
              <a:off x="5581650" y="24164925"/>
              <a:ext cx="1152525" cy="1228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92</xdr:row>
          <xdr:rowOff>85725</xdr:rowOff>
        </xdr:from>
        <xdr:to>
          <xdr:col>14</xdr:col>
          <xdr:colOff>47625</xdr:colOff>
          <xdr:row>97</xdr:row>
          <xdr:rowOff>161925</xdr:rowOff>
        </xdr:to>
        <xdr:pic>
          <xdr:nvPicPr>
            <xdr:cNvPr id="257469" name="図 1100"/>
            <xdr:cNvPicPr>
              <a:picLocks noChangeAspect="1" noChangeArrowheads="1"/>
              <a:extLst>
                <a:ext uri="{84589F7E-364E-4C9E-8A38-B11213B215E9}">
                  <a14:cameraTool cellRange="_9星の数空調" spid="_x0000_s257569"/>
                </a:ext>
              </a:extLst>
            </xdr:cNvPicPr>
          </xdr:nvPicPr>
          <xdr:blipFill>
            <a:blip xmlns:r="http://schemas.openxmlformats.org/officeDocument/2006/relationships" r:embed="rId3"/>
            <a:srcRect/>
            <a:stretch>
              <a:fillRect/>
            </a:stretch>
          </xdr:blipFill>
          <xdr:spPr bwMode="auto">
            <a:xfrm>
              <a:off x="4076700" y="24183975"/>
              <a:ext cx="1133475" cy="12192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103</xdr:row>
          <xdr:rowOff>419100</xdr:rowOff>
        </xdr:from>
        <xdr:to>
          <xdr:col>15</xdr:col>
          <xdr:colOff>133350</xdr:colOff>
          <xdr:row>104</xdr:row>
          <xdr:rowOff>438150</xdr:rowOff>
        </xdr:to>
        <xdr:pic>
          <xdr:nvPicPr>
            <xdr:cNvPr id="257470" name="Picture 446"/>
            <xdr:cNvPicPr>
              <a:picLocks noChangeAspect="1" noChangeArrowheads="1"/>
              <a:extLst>
                <a:ext uri="{84589F7E-364E-4C9E-8A38-B11213B215E9}">
                  <a14:cameraTool cellRange="_10空調導入範囲" spid="_x0000_s257570"/>
                </a:ext>
              </a:extLst>
            </xdr:cNvPicPr>
          </xdr:nvPicPr>
          <xdr:blipFill>
            <a:blip xmlns:r="http://schemas.openxmlformats.org/officeDocument/2006/relationships" r:embed="rId4"/>
            <a:srcRect/>
            <a:stretch>
              <a:fillRect/>
            </a:stretch>
          </xdr:blipFill>
          <xdr:spPr bwMode="auto">
            <a:xfrm>
              <a:off x="4486275" y="2726055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102</xdr:row>
          <xdr:rowOff>85725</xdr:rowOff>
        </xdr:from>
        <xdr:to>
          <xdr:col>14</xdr:col>
          <xdr:colOff>57150</xdr:colOff>
          <xdr:row>104</xdr:row>
          <xdr:rowOff>361950</xdr:rowOff>
        </xdr:to>
        <xdr:pic>
          <xdr:nvPicPr>
            <xdr:cNvPr id="257471" name="図 1119"/>
            <xdr:cNvPicPr>
              <a:picLocks noChangeAspect="1" noChangeArrowheads="1"/>
              <a:extLst>
                <a:ext uri="{84589F7E-364E-4C9E-8A38-B11213B215E9}">
                  <a14:cameraTool cellRange="_10星の数空調" spid="_x0000_s257571"/>
                </a:ext>
              </a:extLst>
            </xdr:cNvPicPr>
          </xdr:nvPicPr>
          <xdr:blipFill>
            <a:blip xmlns:r="http://schemas.openxmlformats.org/officeDocument/2006/relationships" r:embed="rId3"/>
            <a:srcRect/>
            <a:stretch>
              <a:fillRect/>
            </a:stretch>
          </xdr:blipFill>
          <xdr:spPr bwMode="auto">
            <a:xfrm>
              <a:off x="4076700" y="26469975"/>
              <a:ext cx="1143000"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103</xdr:row>
          <xdr:rowOff>142875</xdr:rowOff>
        </xdr:from>
        <xdr:to>
          <xdr:col>19</xdr:col>
          <xdr:colOff>152400</xdr:colOff>
          <xdr:row>104</xdr:row>
          <xdr:rowOff>323850</xdr:rowOff>
        </xdr:to>
        <xdr:pic>
          <xdr:nvPicPr>
            <xdr:cNvPr id="257472" name="Picture 448"/>
            <xdr:cNvPicPr>
              <a:picLocks noChangeAspect="1" noChangeArrowheads="1"/>
              <a:extLst>
                <a:ext uri="{84589F7E-364E-4C9E-8A38-B11213B215E9}">
                  <a14:cameraTool cellRange="_10照明制御" spid="_x0000_s257572"/>
                </a:ext>
              </a:extLst>
            </xdr:cNvPicPr>
          </xdr:nvPicPr>
          <xdr:blipFill>
            <a:blip xmlns:r="http://schemas.openxmlformats.org/officeDocument/2006/relationships" r:embed="rId2"/>
            <a:srcRect/>
            <a:stretch>
              <a:fillRect/>
            </a:stretch>
          </xdr:blipFill>
          <xdr:spPr bwMode="auto">
            <a:xfrm>
              <a:off x="6276975" y="269843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103</xdr:row>
          <xdr:rowOff>438150</xdr:rowOff>
        </xdr:from>
        <xdr:to>
          <xdr:col>18</xdr:col>
          <xdr:colOff>504825</xdr:colOff>
          <xdr:row>104</xdr:row>
          <xdr:rowOff>447675</xdr:rowOff>
        </xdr:to>
        <xdr:pic>
          <xdr:nvPicPr>
            <xdr:cNvPr id="257473" name="Picture 449"/>
            <xdr:cNvPicPr>
              <a:picLocks noChangeAspect="1" noChangeArrowheads="1"/>
              <a:extLst>
                <a:ext uri="{84589F7E-364E-4C9E-8A38-B11213B215E9}">
                  <a14:cameraTool cellRange="_10照明導入範囲" spid="_x0000_s257573"/>
                </a:ext>
              </a:extLst>
            </xdr:cNvPicPr>
          </xdr:nvPicPr>
          <xdr:blipFill>
            <a:blip xmlns:r="http://schemas.openxmlformats.org/officeDocument/2006/relationships" r:embed="rId4"/>
            <a:srcRect/>
            <a:stretch>
              <a:fillRect/>
            </a:stretch>
          </xdr:blipFill>
          <xdr:spPr bwMode="auto">
            <a:xfrm>
              <a:off x="5991225" y="27279600"/>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102</xdr:row>
          <xdr:rowOff>57150</xdr:rowOff>
        </xdr:from>
        <xdr:to>
          <xdr:col>18</xdr:col>
          <xdr:colOff>104775</xdr:colOff>
          <xdr:row>104</xdr:row>
          <xdr:rowOff>342900</xdr:rowOff>
        </xdr:to>
        <xdr:pic>
          <xdr:nvPicPr>
            <xdr:cNvPr id="257474" name="Picture 450"/>
            <xdr:cNvPicPr>
              <a:picLocks noChangeAspect="1" noChangeArrowheads="1"/>
              <a:extLst>
                <a:ext uri="{84589F7E-364E-4C9E-8A38-B11213B215E9}">
                  <a14:cameraTool cellRange="_10星の数照明" spid="_x0000_s257574"/>
                </a:ext>
              </a:extLst>
            </xdr:cNvPicPr>
          </xdr:nvPicPr>
          <xdr:blipFill>
            <a:blip xmlns:r="http://schemas.openxmlformats.org/officeDocument/2006/relationships" r:embed="rId3"/>
            <a:srcRect/>
            <a:stretch>
              <a:fillRect/>
            </a:stretch>
          </xdr:blipFill>
          <xdr:spPr bwMode="auto">
            <a:xfrm>
              <a:off x="5581650" y="26441400"/>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110</xdr:row>
          <xdr:rowOff>409575</xdr:rowOff>
        </xdr:from>
        <xdr:to>
          <xdr:col>15</xdr:col>
          <xdr:colOff>133350</xdr:colOff>
          <xdr:row>111</xdr:row>
          <xdr:rowOff>438150</xdr:rowOff>
        </xdr:to>
        <xdr:pic>
          <xdr:nvPicPr>
            <xdr:cNvPr id="257475" name="Picture 451"/>
            <xdr:cNvPicPr>
              <a:picLocks noChangeAspect="1" noChangeArrowheads="1"/>
              <a:extLst>
                <a:ext uri="{84589F7E-364E-4C9E-8A38-B11213B215E9}">
                  <a14:cameraTool cellRange="_11空調導入範囲" spid="_x0000_s257575"/>
                </a:ext>
              </a:extLst>
            </xdr:cNvPicPr>
          </xdr:nvPicPr>
          <xdr:blipFill>
            <a:blip xmlns:r="http://schemas.openxmlformats.org/officeDocument/2006/relationships" r:embed="rId4"/>
            <a:srcRect/>
            <a:stretch>
              <a:fillRect/>
            </a:stretch>
          </xdr:blipFill>
          <xdr:spPr bwMode="auto">
            <a:xfrm>
              <a:off x="4486275" y="29537025"/>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109</xdr:row>
          <xdr:rowOff>76200</xdr:rowOff>
        </xdr:from>
        <xdr:to>
          <xdr:col>14</xdr:col>
          <xdr:colOff>76200</xdr:colOff>
          <xdr:row>111</xdr:row>
          <xdr:rowOff>371475</xdr:rowOff>
        </xdr:to>
        <xdr:pic>
          <xdr:nvPicPr>
            <xdr:cNvPr id="257476" name="図 1159"/>
            <xdr:cNvPicPr>
              <a:picLocks noChangeAspect="1" noChangeArrowheads="1"/>
              <a:extLst>
                <a:ext uri="{84589F7E-364E-4C9E-8A38-B11213B215E9}">
                  <a14:cameraTool cellRange="_11星の数空調" spid="_x0000_s257576"/>
                </a:ext>
              </a:extLst>
            </xdr:cNvPicPr>
          </xdr:nvPicPr>
          <xdr:blipFill>
            <a:blip xmlns:r="http://schemas.openxmlformats.org/officeDocument/2006/relationships" r:embed="rId3"/>
            <a:srcRect/>
            <a:stretch>
              <a:fillRect/>
            </a:stretch>
          </xdr:blipFill>
          <xdr:spPr bwMode="auto">
            <a:xfrm>
              <a:off x="4076700" y="28746450"/>
              <a:ext cx="116205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110</xdr:row>
          <xdr:rowOff>142875</xdr:rowOff>
        </xdr:from>
        <xdr:to>
          <xdr:col>19</xdr:col>
          <xdr:colOff>152400</xdr:colOff>
          <xdr:row>111</xdr:row>
          <xdr:rowOff>323850</xdr:rowOff>
        </xdr:to>
        <xdr:pic>
          <xdr:nvPicPr>
            <xdr:cNvPr id="257477" name="Picture 453"/>
            <xdr:cNvPicPr>
              <a:picLocks noChangeAspect="1" noChangeArrowheads="1"/>
              <a:extLst>
                <a:ext uri="{84589F7E-364E-4C9E-8A38-B11213B215E9}">
                  <a14:cameraTool cellRange="_11照明制御" spid="_x0000_s257577"/>
                </a:ext>
              </a:extLst>
            </xdr:cNvPicPr>
          </xdr:nvPicPr>
          <xdr:blipFill>
            <a:blip xmlns:r="http://schemas.openxmlformats.org/officeDocument/2006/relationships" r:embed="rId2"/>
            <a:srcRect/>
            <a:stretch>
              <a:fillRect/>
            </a:stretch>
          </xdr:blipFill>
          <xdr:spPr bwMode="auto">
            <a:xfrm>
              <a:off x="6276975" y="292703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110</xdr:row>
          <xdr:rowOff>438150</xdr:rowOff>
        </xdr:from>
        <xdr:to>
          <xdr:col>18</xdr:col>
          <xdr:colOff>504825</xdr:colOff>
          <xdr:row>111</xdr:row>
          <xdr:rowOff>447675</xdr:rowOff>
        </xdr:to>
        <xdr:pic>
          <xdr:nvPicPr>
            <xdr:cNvPr id="257478" name="Picture 454"/>
            <xdr:cNvPicPr>
              <a:picLocks noChangeAspect="1" noChangeArrowheads="1"/>
              <a:extLst>
                <a:ext uri="{84589F7E-364E-4C9E-8A38-B11213B215E9}">
                  <a14:cameraTool cellRange="_11照明導入範囲" spid="_x0000_s257578"/>
                </a:ext>
              </a:extLst>
            </xdr:cNvPicPr>
          </xdr:nvPicPr>
          <xdr:blipFill>
            <a:blip xmlns:r="http://schemas.openxmlformats.org/officeDocument/2006/relationships" r:embed="rId4"/>
            <a:srcRect/>
            <a:stretch>
              <a:fillRect/>
            </a:stretch>
          </xdr:blipFill>
          <xdr:spPr bwMode="auto">
            <a:xfrm>
              <a:off x="5991225" y="29565600"/>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109</xdr:row>
          <xdr:rowOff>57150</xdr:rowOff>
        </xdr:from>
        <xdr:to>
          <xdr:col>18</xdr:col>
          <xdr:colOff>104775</xdr:colOff>
          <xdr:row>111</xdr:row>
          <xdr:rowOff>342900</xdr:rowOff>
        </xdr:to>
        <xdr:pic>
          <xdr:nvPicPr>
            <xdr:cNvPr id="257479" name="Picture 455"/>
            <xdr:cNvPicPr>
              <a:picLocks noChangeAspect="1" noChangeArrowheads="1"/>
              <a:extLst>
                <a:ext uri="{84589F7E-364E-4C9E-8A38-B11213B215E9}">
                  <a14:cameraTool cellRange="_11星の数照明" spid="_x0000_s257579"/>
                </a:ext>
              </a:extLst>
            </xdr:cNvPicPr>
          </xdr:nvPicPr>
          <xdr:blipFill>
            <a:blip xmlns:r="http://schemas.openxmlformats.org/officeDocument/2006/relationships" r:embed="rId3"/>
            <a:srcRect/>
            <a:stretch>
              <a:fillRect/>
            </a:stretch>
          </xdr:blipFill>
          <xdr:spPr bwMode="auto">
            <a:xfrm>
              <a:off x="5581650" y="28727400"/>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117</xdr:row>
          <xdr:rowOff>409575</xdr:rowOff>
        </xdr:from>
        <xdr:to>
          <xdr:col>15</xdr:col>
          <xdr:colOff>133350</xdr:colOff>
          <xdr:row>118</xdr:row>
          <xdr:rowOff>438150</xdr:rowOff>
        </xdr:to>
        <xdr:pic>
          <xdr:nvPicPr>
            <xdr:cNvPr id="257480" name="Picture 456"/>
            <xdr:cNvPicPr>
              <a:picLocks noChangeAspect="1" noChangeArrowheads="1"/>
              <a:extLst>
                <a:ext uri="{84589F7E-364E-4C9E-8A38-B11213B215E9}">
                  <a14:cameraTool cellRange="_12空調導入範囲" spid="_x0000_s257580"/>
                </a:ext>
              </a:extLst>
            </xdr:cNvPicPr>
          </xdr:nvPicPr>
          <xdr:blipFill>
            <a:blip xmlns:r="http://schemas.openxmlformats.org/officeDocument/2006/relationships" r:embed="rId4"/>
            <a:srcRect/>
            <a:stretch>
              <a:fillRect/>
            </a:stretch>
          </xdr:blipFill>
          <xdr:spPr bwMode="auto">
            <a:xfrm>
              <a:off x="4486275" y="31823025"/>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116</xdr:row>
          <xdr:rowOff>76200</xdr:rowOff>
        </xdr:from>
        <xdr:to>
          <xdr:col>14</xdr:col>
          <xdr:colOff>76200</xdr:colOff>
          <xdr:row>118</xdr:row>
          <xdr:rowOff>371475</xdr:rowOff>
        </xdr:to>
        <xdr:pic>
          <xdr:nvPicPr>
            <xdr:cNvPr id="257481" name="図 1191"/>
            <xdr:cNvPicPr>
              <a:picLocks noChangeAspect="1" noChangeArrowheads="1"/>
              <a:extLst>
                <a:ext uri="{84589F7E-364E-4C9E-8A38-B11213B215E9}">
                  <a14:cameraTool cellRange="_12星の数空調" spid="_x0000_s257581"/>
                </a:ext>
              </a:extLst>
            </xdr:cNvPicPr>
          </xdr:nvPicPr>
          <xdr:blipFill>
            <a:blip xmlns:r="http://schemas.openxmlformats.org/officeDocument/2006/relationships" r:embed="rId3"/>
            <a:srcRect/>
            <a:stretch>
              <a:fillRect/>
            </a:stretch>
          </xdr:blipFill>
          <xdr:spPr bwMode="auto">
            <a:xfrm>
              <a:off x="4076700" y="31032450"/>
              <a:ext cx="116205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117</xdr:row>
          <xdr:rowOff>142875</xdr:rowOff>
        </xdr:from>
        <xdr:to>
          <xdr:col>19</xdr:col>
          <xdr:colOff>152400</xdr:colOff>
          <xdr:row>118</xdr:row>
          <xdr:rowOff>323850</xdr:rowOff>
        </xdr:to>
        <xdr:pic>
          <xdr:nvPicPr>
            <xdr:cNvPr id="257482" name="Picture 458"/>
            <xdr:cNvPicPr>
              <a:picLocks noChangeAspect="1" noChangeArrowheads="1"/>
              <a:extLst>
                <a:ext uri="{84589F7E-364E-4C9E-8A38-B11213B215E9}">
                  <a14:cameraTool cellRange="_12照明制御" spid="_x0000_s257582"/>
                </a:ext>
              </a:extLst>
            </xdr:cNvPicPr>
          </xdr:nvPicPr>
          <xdr:blipFill>
            <a:blip xmlns:r="http://schemas.openxmlformats.org/officeDocument/2006/relationships" r:embed="rId2"/>
            <a:srcRect/>
            <a:stretch>
              <a:fillRect/>
            </a:stretch>
          </xdr:blipFill>
          <xdr:spPr bwMode="auto">
            <a:xfrm>
              <a:off x="6276975" y="315563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117</xdr:row>
          <xdr:rowOff>438150</xdr:rowOff>
        </xdr:from>
        <xdr:to>
          <xdr:col>18</xdr:col>
          <xdr:colOff>504825</xdr:colOff>
          <xdr:row>118</xdr:row>
          <xdr:rowOff>447675</xdr:rowOff>
        </xdr:to>
        <xdr:pic>
          <xdr:nvPicPr>
            <xdr:cNvPr id="257483" name="Picture 459"/>
            <xdr:cNvPicPr>
              <a:picLocks noChangeAspect="1" noChangeArrowheads="1"/>
              <a:extLst>
                <a:ext uri="{84589F7E-364E-4C9E-8A38-B11213B215E9}">
                  <a14:cameraTool cellRange="_12照明導入範囲" spid="_x0000_s257583"/>
                </a:ext>
              </a:extLst>
            </xdr:cNvPicPr>
          </xdr:nvPicPr>
          <xdr:blipFill>
            <a:blip xmlns:r="http://schemas.openxmlformats.org/officeDocument/2006/relationships" r:embed="rId4"/>
            <a:srcRect/>
            <a:stretch>
              <a:fillRect/>
            </a:stretch>
          </xdr:blipFill>
          <xdr:spPr bwMode="auto">
            <a:xfrm>
              <a:off x="5991225" y="31851600"/>
              <a:ext cx="1143000" cy="466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116</xdr:row>
          <xdr:rowOff>57150</xdr:rowOff>
        </xdr:from>
        <xdr:to>
          <xdr:col>18</xdr:col>
          <xdr:colOff>95250</xdr:colOff>
          <xdr:row>118</xdr:row>
          <xdr:rowOff>352425</xdr:rowOff>
        </xdr:to>
        <xdr:pic>
          <xdr:nvPicPr>
            <xdr:cNvPr id="257484" name="Picture 460"/>
            <xdr:cNvPicPr>
              <a:picLocks noChangeAspect="1" noChangeArrowheads="1"/>
              <a:extLst>
                <a:ext uri="{84589F7E-364E-4C9E-8A38-B11213B215E9}">
                  <a14:cameraTool cellRange="_12星の数照明" spid="_x0000_s257584"/>
                </a:ext>
              </a:extLst>
            </xdr:cNvPicPr>
          </xdr:nvPicPr>
          <xdr:blipFill>
            <a:blip xmlns:r="http://schemas.openxmlformats.org/officeDocument/2006/relationships" r:embed="rId3"/>
            <a:srcRect/>
            <a:stretch>
              <a:fillRect/>
            </a:stretch>
          </xdr:blipFill>
          <xdr:spPr bwMode="auto">
            <a:xfrm>
              <a:off x="5581650" y="31013400"/>
              <a:ext cx="114300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137</xdr:row>
          <xdr:rowOff>209550</xdr:rowOff>
        </xdr:from>
        <xdr:to>
          <xdr:col>15</xdr:col>
          <xdr:colOff>142875</xdr:colOff>
          <xdr:row>140</xdr:row>
          <xdr:rowOff>0</xdr:rowOff>
        </xdr:to>
        <xdr:pic>
          <xdr:nvPicPr>
            <xdr:cNvPr id="257485" name="Picture 461"/>
            <xdr:cNvPicPr>
              <a:picLocks noChangeAspect="1" noChangeArrowheads="1"/>
              <a:extLst>
                <a:ext uri="{84589F7E-364E-4C9E-8A38-B11213B215E9}">
                  <a14:cameraTool cellRange="_13空調導入範囲" spid="_x0000_s257585"/>
                </a:ext>
              </a:extLst>
            </xdr:cNvPicPr>
          </xdr:nvPicPr>
          <xdr:blipFill>
            <a:blip xmlns:r="http://schemas.openxmlformats.org/officeDocument/2006/relationships" r:embed="rId4"/>
            <a:srcRect/>
            <a:stretch>
              <a:fillRect/>
            </a:stretch>
          </xdr:blipFill>
          <xdr:spPr bwMode="auto">
            <a:xfrm>
              <a:off x="4486275" y="36118800"/>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136</xdr:row>
          <xdr:rowOff>171450</xdr:rowOff>
        </xdr:from>
        <xdr:to>
          <xdr:col>19</xdr:col>
          <xdr:colOff>152400</xdr:colOff>
          <xdr:row>139</xdr:row>
          <xdr:rowOff>114300</xdr:rowOff>
        </xdr:to>
        <xdr:pic>
          <xdr:nvPicPr>
            <xdr:cNvPr id="257486" name="Picture 462"/>
            <xdr:cNvPicPr>
              <a:picLocks noChangeAspect="1" noChangeArrowheads="1"/>
              <a:extLst>
                <a:ext uri="{84589F7E-364E-4C9E-8A38-B11213B215E9}">
                  <a14:cameraTool cellRange="_13照明制御" spid="_x0000_s257586"/>
                </a:ext>
              </a:extLst>
            </xdr:cNvPicPr>
          </xdr:nvPicPr>
          <xdr:blipFill>
            <a:blip xmlns:r="http://schemas.openxmlformats.org/officeDocument/2006/relationships" r:embed="rId2"/>
            <a:srcRect/>
            <a:stretch>
              <a:fillRect/>
            </a:stretch>
          </xdr:blipFill>
          <xdr:spPr bwMode="auto">
            <a:xfrm>
              <a:off x="6276975" y="35852100"/>
              <a:ext cx="1152525" cy="628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138</xdr:row>
          <xdr:rowOff>9525</xdr:rowOff>
        </xdr:from>
        <xdr:to>
          <xdr:col>18</xdr:col>
          <xdr:colOff>514350</xdr:colOff>
          <xdr:row>140</xdr:row>
          <xdr:rowOff>28575</xdr:rowOff>
        </xdr:to>
        <xdr:pic>
          <xdr:nvPicPr>
            <xdr:cNvPr id="257487" name="Picture 463"/>
            <xdr:cNvPicPr>
              <a:picLocks noChangeAspect="1" noChangeArrowheads="1"/>
              <a:extLst>
                <a:ext uri="{84589F7E-364E-4C9E-8A38-B11213B215E9}">
                  <a14:cameraTool cellRange="_13照明導入範囲" spid="_x0000_s257587"/>
                </a:ext>
              </a:extLst>
            </xdr:cNvPicPr>
          </xdr:nvPicPr>
          <xdr:blipFill>
            <a:blip xmlns:r="http://schemas.openxmlformats.org/officeDocument/2006/relationships" r:embed="rId4"/>
            <a:srcRect/>
            <a:stretch>
              <a:fillRect/>
            </a:stretch>
          </xdr:blipFill>
          <xdr:spPr bwMode="auto">
            <a:xfrm>
              <a:off x="5991225" y="36147375"/>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134</xdr:row>
          <xdr:rowOff>66675</xdr:rowOff>
        </xdr:from>
        <xdr:to>
          <xdr:col>18</xdr:col>
          <xdr:colOff>104775</xdr:colOff>
          <xdr:row>139</xdr:row>
          <xdr:rowOff>152400</xdr:rowOff>
        </xdr:to>
        <xdr:pic>
          <xdr:nvPicPr>
            <xdr:cNvPr id="257488" name="Picture 464"/>
            <xdr:cNvPicPr>
              <a:picLocks noChangeAspect="1" noChangeArrowheads="1"/>
              <a:extLst>
                <a:ext uri="{84589F7E-364E-4C9E-8A38-B11213B215E9}">
                  <a14:cameraTool cellRange="_13星の数照明" spid="_x0000_s257588"/>
                </a:ext>
              </a:extLst>
            </xdr:cNvPicPr>
          </xdr:nvPicPr>
          <xdr:blipFill>
            <a:blip xmlns:r="http://schemas.openxmlformats.org/officeDocument/2006/relationships" r:embed="rId3"/>
            <a:srcRect/>
            <a:stretch>
              <a:fillRect/>
            </a:stretch>
          </xdr:blipFill>
          <xdr:spPr bwMode="auto">
            <a:xfrm>
              <a:off x="5581650" y="35290125"/>
              <a:ext cx="1152525" cy="1228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134</xdr:row>
          <xdr:rowOff>85725</xdr:rowOff>
        </xdr:from>
        <xdr:to>
          <xdr:col>14</xdr:col>
          <xdr:colOff>47625</xdr:colOff>
          <xdr:row>139</xdr:row>
          <xdr:rowOff>161925</xdr:rowOff>
        </xdr:to>
        <xdr:pic>
          <xdr:nvPicPr>
            <xdr:cNvPr id="257489" name="図 1228"/>
            <xdr:cNvPicPr>
              <a:picLocks noChangeAspect="1" noChangeArrowheads="1"/>
              <a:extLst>
                <a:ext uri="{84589F7E-364E-4C9E-8A38-B11213B215E9}">
                  <a14:cameraTool cellRange="_13星の数空調" spid="_x0000_s257589"/>
                </a:ext>
              </a:extLst>
            </xdr:cNvPicPr>
          </xdr:nvPicPr>
          <xdr:blipFill>
            <a:blip xmlns:r="http://schemas.openxmlformats.org/officeDocument/2006/relationships" r:embed="rId3"/>
            <a:srcRect/>
            <a:stretch>
              <a:fillRect/>
            </a:stretch>
          </xdr:blipFill>
          <xdr:spPr bwMode="auto">
            <a:xfrm>
              <a:off x="4076700" y="35309175"/>
              <a:ext cx="1133475" cy="12192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145</xdr:row>
          <xdr:rowOff>419100</xdr:rowOff>
        </xdr:from>
        <xdr:to>
          <xdr:col>15</xdr:col>
          <xdr:colOff>133350</xdr:colOff>
          <xdr:row>146</xdr:row>
          <xdr:rowOff>438151</xdr:rowOff>
        </xdr:to>
        <xdr:pic>
          <xdr:nvPicPr>
            <xdr:cNvPr id="257490" name="Picture 466"/>
            <xdr:cNvPicPr>
              <a:picLocks noChangeAspect="1" noChangeArrowheads="1"/>
              <a:extLst>
                <a:ext uri="{84589F7E-364E-4C9E-8A38-B11213B215E9}">
                  <a14:cameraTool cellRange="_14空調導入範囲" spid="_x0000_s257590"/>
                </a:ext>
              </a:extLst>
            </xdr:cNvPicPr>
          </xdr:nvPicPr>
          <xdr:blipFill>
            <a:blip xmlns:r="http://schemas.openxmlformats.org/officeDocument/2006/relationships" r:embed="rId4"/>
            <a:srcRect/>
            <a:stretch>
              <a:fillRect/>
            </a:stretch>
          </xdr:blipFill>
          <xdr:spPr bwMode="auto">
            <a:xfrm>
              <a:off x="4486275" y="3838575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144</xdr:row>
          <xdr:rowOff>85725</xdr:rowOff>
        </xdr:from>
        <xdr:to>
          <xdr:col>14</xdr:col>
          <xdr:colOff>57150</xdr:colOff>
          <xdr:row>146</xdr:row>
          <xdr:rowOff>361950</xdr:rowOff>
        </xdr:to>
        <xdr:pic>
          <xdr:nvPicPr>
            <xdr:cNvPr id="257491" name="図 1247"/>
            <xdr:cNvPicPr>
              <a:picLocks noChangeAspect="1" noChangeArrowheads="1"/>
              <a:extLst>
                <a:ext uri="{84589F7E-364E-4C9E-8A38-B11213B215E9}">
                  <a14:cameraTool cellRange="_14星の数空調" spid="_x0000_s257591"/>
                </a:ext>
              </a:extLst>
            </xdr:cNvPicPr>
          </xdr:nvPicPr>
          <xdr:blipFill>
            <a:blip xmlns:r="http://schemas.openxmlformats.org/officeDocument/2006/relationships" r:embed="rId3"/>
            <a:srcRect/>
            <a:stretch>
              <a:fillRect/>
            </a:stretch>
          </xdr:blipFill>
          <xdr:spPr bwMode="auto">
            <a:xfrm>
              <a:off x="4076700" y="37595175"/>
              <a:ext cx="1143000"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145</xdr:row>
          <xdr:rowOff>142875</xdr:rowOff>
        </xdr:from>
        <xdr:to>
          <xdr:col>19</xdr:col>
          <xdr:colOff>152400</xdr:colOff>
          <xdr:row>146</xdr:row>
          <xdr:rowOff>323851</xdr:rowOff>
        </xdr:to>
        <xdr:pic>
          <xdr:nvPicPr>
            <xdr:cNvPr id="257492" name="Picture 468"/>
            <xdr:cNvPicPr>
              <a:picLocks noChangeAspect="1" noChangeArrowheads="1"/>
              <a:extLst>
                <a:ext uri="{84589F7E-364E-4C9E-8A38-B11213B215E9}">
                  <a14:cameraTool cellRange="_14照明制御" spid="_x0000_s257592"/>
                </a:ext>
              </a:extLst>
            </xdr:cNvPicPr>
          </xdr:nvPicPr>
          <xdr:blipFill>
            <a:blip xmlns:r="http://schemas.openxmlformats.org/officeDocument/2006/relationships" r:embed="rId2"/>
            <a:srcRect/>
            <a:stretch>
              <a:fillRect/>
            </a:stretch>
          </xdr:blipFill>
          <xdr:spPr bwMode="auto">
            <a:xfrm>
              <a:off x="6276975" y="381095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145</xdr:row>
          <xdr:rowOff>438150</xdr:rowOff>
        </xdr:from>
        <xdr:to>
          <xdr:col>18</xdr:col>
          <xdr:colOff>504825</xdr:colOff>
          <xdr:row>147</xdr:row>
          <xdr:rowOff>0</xdr:rowOff>
        </xdr:to>
        <xdr:pic>
          <xdr:nvPicPr>
            <xdr:cNvPr id="257493" name="Picture 469"/>
            <xdr:cNvPicPr>
              <a:picLocks noChangeAspect="1" noChangeArrowheads="1"/>
              <a:extLst>
                <a:ext uri="{84589F7E-364E-4C9E-8A38-B11213B215E9}">
                  <a14:cameraTool cellRange="_14照明導入範囲" spid="_x0000_s257593"/>
                </a:ext>
              </a:extLst>
            </xdr:cNvPicPr>
          </xdr:nvPicPr>
          <xdr:blipFill>
            <a:blip xmlns:r="http://schemas.openxmlformats.org/officeDocument/2006/relationships" r:embed="rId4"/>
            <a:srcRect/>
            <a:stretch>
              <a:fillRect/>
            </a:stretch>
          </xdr:blipFill>
          <xdr:spPr bwMode="auto">
            <a:xfrm>
              <a:off x="5991225" y="3840480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144</xdr:row>
          <xdr:rowOff>57150</xdr:rowOff>
        </xdr:from>
        <xdr:to>
          <xdr:col>18</xdr:col>
          <xdr:colOff>104775</xdr:colOff>
          <xdr:row>146</xdr:row>
          <xdr:rowOff>342900</xdr:rowOff>
        </xdr:to>
        <xdr:pic>
          <xdr:nvPicPr>
            <xdr:cNvPr id="257494" name="Picture 470"/>
            <xdr:cNvPicPr>
              <a:picLocks noChangeAspect="1" noChangeArrowheads="1"/>
              <a:extLst>
                <a:ext uri="{84589F7E-364E-4C9E-8A38-B11213B215E9}">
                  <a14:cameraTool cellRange="_14星の数照明" spid="_x0000_s257594"/>
                </a:ext>
              </a:extLst>
            </xdr:cNvPicPr>
          </xdr:nvPicPr>
          <xdr:blipFill>
            <a:blip xmlns:r="http://schemas.openxmlformats.org/officeDocument/2006/relationships" r:embed="rId3"/>
            <a:srcRect/>
            <a:stretch>
              <a:fillRect/>
            </a:stretch>
          </xdr:blipFill>
          <xdr:spPr bwMode="auto">
            <a:xfrm>
              <a:off x="5581650" y="37566600"/>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152</xdr:row>
          <xdr:rowOff>409575</xdr:rowOff>
        </xdr:from>
        <xdr:to>
          <xdr:col>15</xdr:col>
          <xdr:colOff>133350</xdr:colOff>
          <xdr:row>153</xdr:row>
          <xdr:rowOff>438151</xdr:rowOff>
        </xdr:to>
        <xdr:pic>
          <xdr:nvPicPr>
            <xdr:cNvPr id="257495" name="Picture 471"/>
            <xdr:cNvPicPr>
              <a:picLocks noChangeAspect="1" noChangeArrowheads="1"/>
              <a:extLst>
                <a:ext uri="{84589F7E-364E-4C9E-8A38-B11213B215E9}">
                  <a14:cameraTool cellRange="_15空調導入範囲" spid="_x0000_s257595"/>
                </a:ext>
              </a:extLst>
            </xdr:cNvPicPr>
          </xdr:nvPicPr>
          <xdr:blipFill>
            <a:blip xmlns:r="http://schemas.openxmlformats.org/officeDocument/2006/relationships" r:embed="rId4"/>
            <a:srcRect/>
            <a:stretch>
              <a:fillRect/>
            </a:stretch>
          </xdr:blipFill>
          <xdr:spPr bwMode="auto">
            <a:xfrm>
              <a:off x="4486275" y="40662225"/>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151</xdr:row>
          <xdr:rowOff>76200</xdr:rowOff>
        </xdr:from>
        <xdr:to>
          <xdr:col>14</xdr:col>
          <xdr:colOff>76200</xdr:colOff>
          <xdr:row>153</xdr:row>
          <xdr:rowOff>371475</xdr:rowOff>
        </xdr:to>
        <xdr:pic>
          <xdr:nvPicPr>
            <xdr:cNvPr id="257496" name="図 1287"/>
            <xdr:cNvPicPr>
              <a:picLocks noChangeAspect="1" noChangeArrowheads="1"/>
              <a:extLst>
                <a:ext uri="{84589F7E-364E-4C9E-8A38-B11213B215E9}">
                  <a14:cameraTool cellRange="_15星の数空調" spid="_x0000_s257596"/>
                </a:ext>
              </a:extLst>
            </xdr:cNvPicPr>
          </xdr:nvPicPr>
          <xdr:blipFill>
            <a:blip xmlns:r="http://schemas.openxmlformats.org/officeDocument/2006/relationships" r:embed="rId3"/>
            <a:srcRect/>
            <a:stretch>
              <a:fillRect/>
            </a:stretch>
          </xdr:blipFill>
          <xdr:spPr bwMode="auto">
            <a:xfrm>
              <a:off x="4076700" y="39871650"/>
              <a:ext cx="116205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152</xdr:row>
          <xdr:rowOff>142875</xdr:rowOff>
        </xdr:from>
        <xdr:to>
          <xdr:col>19</xdr:col>
          <xdr:colOff>152400</xdr:colOff>
          <xdr:row>153</xdr:row>
          <xdr:rowOff>323851</xdr:rowOff>
        </xdr:to>
        <xdr:pic>
          <xdr:nvPicPr>
            <xdr:cNvPr id="257497" name="Picture 473"/>
            <xdr:cNvPicPr>
              <a:picLocks noChangeAspect="1" noChangeArrowheads="1"/>
              <a:extLst>
                <a:ext uri="{84589F7E-364E-4C9E-8A38-B11213B215E9}">
                  <a14:cameraTool cellRange="_15照明制御" spid="_x0000_s257597"/>
                </a:ext>
              </a:extLst>
            </xdr:cNvPicPr>
          </xdr:nvPicPr>
          <xdr:blipFill>
            <a:blip xmlns:r="http://schemas.openxmlformats.org/officeDocument/2006/relationships" r:embed="rId2"/>
            <a:srcRect/>
            <a:stretch>
              <a:fillRect/>
            </a:stretch>
          </xdr:blipFill>
          <xdr:spPr bwMode="auto">
            <a:xfrm>
              <a:off x="6276975" y="403955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152</xdr:row>
          <xdr:rowOff>438150</xdr:rowOff>
        </xdr:from>
        <xdr:to>
          <xdr:col>18</xdr:col>
          <xdr:colOff>504825</xdr:colOff>
          <xdr:row>154</xdr:row>
          <xdr:rowOff>0</xdr:rowOff>
        </xdr:to>
        <xdr:pic>
          <xdr:nvPicPr>
            <xdr:cNvPr id="257498" name="Picture 474"/>
            <xdr:cNvPicPr>
              <a:picLocks noChangeAspect="1" noChangeArrowheads="1"/>
              <a:extLst>
                <a:ext uri="{84589F7E-364E-4C9E-8A38-B11213B215E9}">
                  <a14:cameraTool cellRange="_15照明導入範囲" spid="_x0000_s257598"/>
                </a:ext>
              </a:extLst>
            </xdr:cNvPicPr>
          </xdr:nvPicPr>
          <xdr:blipFill>
            <a:blip xmlns:r="http://schemas.openxmlformats.org/officeDocument/2006/relationships" r:embed="rId4"/>
            <a:srcRect/>
            <a:stretch>
              <a:fillRect/>
            </a:stretch>
          </xdr:blipFill>
          <xdr:spPr bwMode="auto">
            <a:xfrm>
              <a:off x="5991225" y="4069080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151</xdr:row>
          <xdr:rowOff>57150</xdr:rowOff>
        </xdr:from>
        <xdr:to>
          <xdr:col>18</xdr:col>
          <xdr:colOff>104775</xdr:colOff>
          <xdr:row>153</xdr:row>
          <xdr:rowOff>342900</xdr:rowOff>
        </xdr:to>
        <xdr:pic>
          <xdr:nvPicPr>
            <xdr:cNvPr id="257499" name="Picture 475"/>
            <xdr:cNvPicPr>
              <a:picLocks noChangeAspect="1" noChangeArrowheads="1"/>
              <a:extLst>
                <a:ext uri="{84589F7E-364E-4C9E-8A38-B11213B215E9}">
                  <a14:cameraTool cellRange="_15星の数照明" spid="_x0000_s257599"/>
                </a:ext>
              </a:extLst>
            </xdr:cNvPicPr>
          </xdr:nvPicPr>
          <xdr:blipFill>
            <a:blip xmlns:r="http://schemas.openxmlformats.org/officeDocument/2006/relationships" r:embed="rId3"/>
            <a:srcRect/>
            <a:stretch>
              <a:fillRect/>
            </a:stretch>
          </xdr:blipFill>
          <xdr:spPr bwMode="auto">
            <a:xfrm>
              <a:off x="5581650" y="39852600"/>
              <a:ext cx="1152525"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159</xdr:row>
          <xdr:rowOff>409575</xdr:rowOff>
        </xdr:from>
        <xdr:to>
          <xdr:col>15</xdr:col>
          <xdr:colOff>133350</xdr:colOff>
          <xdr:row>160</xdr:row>
          <xdr:rowOff>438151</xdr:rowOff>
        </xdr:to>
        <xdr:pic>
          <xdr:nvPicPr>
            <xdr:cNvPr id="257500" name="Picture 476"/>
            <xdr:cNvPicPr>
              <a:picLocks noChangeAspect="1" noChangeArrowheads="1"/>
              <a:extLst>
                <a:ext uri="{84589F7E-364E-4C9E-8A38-B11213B215E9}">
                  <a14:cameraTool cellRange="_16空調導入範囲" spid="_x0000_s257600"/>
                </a:ext>
              </a:extLst>
            </xdr:cNvPicPr>
          </xdr:nvPicPr>
          <xdr:blipFill>
            <a:blip xmlns:r="http://schemas.openxmlformats.org/officeDocument/2006/relationships" r:embed="rId4"/>
            <a:srcRect/>
            <a:stretch>
              <a:fillRect/>
            </a:stretch>
          </xdr:blipFill>
          <xdr:spPr bwMode="auto">
            <a:xfrm>
              <a:off x="4486275" y="42948225"/>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158</xdr:row>
          <xdr:rowOff>76200</xdr:rowOff>
        </xdr:from>
        <xdr:to>
          <xdr:col>14</xdr:col>
          <xdr:colOff>76200</xdr:colOff>
          <xdr:row>160</xdr:row>
          <xdr:rowOff>371475</xdr:rowOff>
        </xdr:to>
        <xdr:pic>
          <xdr:nvPicPr>
            <xdr:cNvPr id="257501" name="図 1319"/>
            <xdr:cNvPicPr>
              <a:picLocks noChangeAspect="1" noChangeArrowheads="1"/>
              <a:extLst>
                <a:ext uri="{84589F7E-364E-4C9E-8A38-B11213B215E9}">
                  <a14:cameraTool cellRange="_16星の数空調" spid="_x0000_s257601"/>
                </a:ext>
              </a:extLst>
            </xdr:cNvPicPr>
          </xdr:nvPicPr>
          <xdr:blipFill>
            <a:blip xmlns:r="http://schemas.openxmlformats.org/officeDocument/2006/relationships" r:embed="rId3"/>
            <a:srcRect/>
            <a:stretch>
              <a:fillRect/>
            </a:stretch>
          </xdr:blipFill>
          <xdr:spPr bwMode="auto">
            <a:xfrm>
              <a:off x="4076700" y="42157650"/>
              <a:ext cx="116205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159</xdr:row>
          <xdr:rowOff>142875</xdr:rowOff>
        </xdr:from>
        <xdr:to>
          <xdr:col>19</xdr:col>
          <xdr:colOff>152400</xdr:colOff>
          <xdr:row>160</xdr:row>
          <xdr:rowOff>323851</xdr:rowOff>
        </xdr:to>
        <xdr:pic>
          <xdr:nvPicPr>
            <xdr:cNvPr id="257502" name="Picture 478"/>
            <xdr:cNvPicPr>
              <a:picLocks noChangeAspect="1" noChangeArrowheads="1"/>
              <a:extLst>
                <a:ext uri="{84589F7E-364E-4C9E-8A38-B11213B215E9}">
                  <a14:cameraTool cellRange="_16照明制御" spid="_x0000_s257602"/>
                </a:ext>
              </a:extLst>
            </xdr:cNvPicPr>
          </xdr:nvPicPr>
          <xdr:blipFill>
            <a:blip xmlns:r="http://schemas.openxmlformats.org/officeDocument/2006/relationships" r:embed="rId2"/>
            <a:srcRect/>
            <a:stretch>
              <a:fillRect/>
            </a:stretch>
          </xdr:blipFill>
          <xdr:spPr bwMode="auto">
            <a:xfrm>
              <a:off x="6276975" y="42681525"/>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159</xdr:row>
          <xdr:rowOff>438150</xdr:rowOff>
        </xdr:from>
        <xdr:to>
          <xdr:col>18</xdr:col>
          <xdr:colOff>504825</xdr:colOff>
          <xdr:row>161</xdr:row>
          <xdr:rowOff>0</xdr:rowOff>
        </xdr:to>
        <xdr:pic>
          <xdr:nvPicPr>
            <xdr:cNvPr id="257503" name="Picture 479"/>
            <xdr:cNvPicPr>
              <a:picLocks noChangeAspect="1" noChangeArrowheads="1"/>
              <a:extLst>
                <a:ext uri="{84589F7E-364E-4C9E-8A38-B11213B215E9}">
                  <a14:cameraTool cellRange="_16照明導入範囲" spid="_x0000_s257603"/>
                </a:ext>
              </a:extLst>
            </xdr:cNvPicPr>
          </xdr:nvPicPr>
          <xdr:blipFill>
            <a:blip xmlns:r="http://schemas.openxmlformats.org/officeDocument/2006/relationships" r:embed="rId4"/>
            <a:srcRect/>
            <a:stretch>
              <a:fillRect/>
            </a:stretch>
          </xdr:blipFill>
          <xdr:spPr bwMode="auto">
            <a:xfrm>
              <a:off x="5991225" y="4297680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158</xdr:row>
          <xdr:rowOff>57150</xdr:rowOff>
        </xdr:from>
        <xdr:to>
          <xdr:col>18</xdr:col>
          <xdr:colOff>95250</xdr:colOff>
          <xdr:row>160</xdr:row>
          <xdr:rowOff>352425</xdr:rowOff>
        </xdr:to>
        <xdr:pic>
          <xdr:nvPicPr>
            <xdr:cNvPr id="257504" name="Picture 480"/>
            <xdr:cNvPicPr>
              <a:picLocks noChangeAspect="1" noChangeArrowheads="1"/>
              <a:extLst>
                <a:ext uri="{84589F7E-364E-4C9E-8A38-B11213B215E9}">
                  <a14:cameraTool cellRange="_16星の数照明" spid="_x0000_s257604"/>
                </a:ext>
              </a:extLst>
            </xdr:cNvPicPr>
          </xdr:nvPicPr>
          <xdr:blipFill>
            <a:blip xmlns:r="http://schemas.openxmlformats.org/officeDocument/2006/relationships" r:embed="rId3"/>
            <a:srcRect/>
            <a:stretch>
              <a:fillRect/>
            </a:stretch>
          </xdr:blipFill>
          <xdr:spPr bwMode="auto">
            <a:xfrm>
              <a:off x="5581650" y="42138600"/>
              <a:ext cx="1143000" cy="12096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179</xdr:row>
          <xdr:rowOff>200025</xdr:rowOff>
        </xdr:from>
        <xdr:to>
          <xdr:col>15</xdr:col>
          <xdr:colOff>142875</xdr:colOff>
          <xdr:row>182</xdr:row>
          <xdr:rowOff>7795</xdr:rowOff>
        </xdr:to>
        <xdr:pic>
          <xdr:nvPicPr>
            <xdr:cNvPr id="257505" name="Picture 481"/>
            <xdr:cNvPicPr>
              <a:picLocks noChangeAspect="1" noChangeArrowheads="1"/>
              <a:extLst>
                <a:ext uri="{84589F7E-364E-4C9E-8A38-B11213B215E9}">
                  <a14:cameraTool cellRange="_17空調導入範囲" spid="_x0000_s257605"/>
                </a:ext>
              </a:extLst>
            </xdr:cNvPicPr>
          </xdr:nvPicPr>
          <xdr:blipFill>
            <a:blip xmlns:r="http://schemas.openxmlformats.org/officeDocument/2006/relationships" r:embed="rId4"/>
            <a:srcRect/>
            <a:stretch>
              <a:fillRect/>
            </a:stretch>
          </xdr:blipFill>
          <xdr:spPr bwMode="auto">
            <a:xfrm>
              <a:off x="4486275" y="47234475"/>
              <a:ext cx="1152525"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178</xdr:row>
          <xdr:rowOff>152400</xdr:rowOff>
        </xdr:from>
        <xdr:to>
          <xdr:col>19</xdr:col>
          <xdr:colOff>152400</xdr:colOff>
          <xdr:row>181</xdr:row>
          <xdr:rowOff>95249</xdr:rowOff>
        </xdr:to>
        <xdr:pic>
          <xdr:nvPicPr>
            <xdr:cNvPr id="257506" name="Picture 482"/>
            <xdr:cNvPicPr>
              <a:picLocks noChangeAspect="1" noChangeArrowheads="1"/>
              <a:extLst>
                <a:ext uri="{84589F7E-364E-4C9E-8A38-B11213B215E9}">
                  <a14:cameraTool cellRange="_17照明制御" spid="_x0000_s257606"/>
                </a:ext>
              </a:extLst>
            </xdr:cNvPicPr>
          </xdr:nvPicPr>
          <xdr:blipFill>
            <a:blip xmlns:r="http://schemas.openxmlformats.org/officeDocument/2006/relationships" r:embed="rId2"/>
            <a:srcRect/>
            <a:stretch>
              <a:fillRect/>
            </a:stretch>
          </xdr:blipFill>
          <xdr:spPr bwMode="auto">
            <a:xfrm>
              <a:off x="6276975" y="46958250"/>
              <a:ext cx="1152525" cy="628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179</xdr:row>
          <xdr:rowOff>238125</xdr:rowOff>
        </xdr:from>
        <xdr:to>
          <xdr:col>18</xdr:col>
          <xdr:colOff>514350</xdr:colOff>
          <xdr:row>182</xdr:row>
          <xdr:rowOff>19049</xdr:rowOff>
        </xdr:to>
        <xdr:pic>
          <xdr:nvPicPr>
            <xdr:cNvPr id="257507" name="Picture 483"/>
            <xdr:cNvPicPr>
              <a:picLocks noChangeAspect="1" noChangeArrowheads="1"/>
              <a:extLst>
                <a:ext uri="{84589F7E-364E-4C9E-8A38-B11213B215E9}">
                  <a14:cameraTool cellRange="_17照明導入範囲" spid="_x0000_s257607"/>
                </a:ext>
              </a:extLst>
            </xdr:cNvPicPr>
          </xdr:nvPicPr>
          <xdr:blipFill>
            <a:blip xmlns:r="http://schemas.openxmlformats.org/officeDocument/2006/relationships" r:embed="rId4"/>
            <a:srcRect/>
            <a:stretch>
              <a:fillRect/>
            </a:stretch>
          </xdr:blipFill>
          <xdr:spPr bwMode="auto">
            <a:xfrm>
              <a:off x="5991225" y="47263050"/>
              <a:ext cx="1152525"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176</xdr:row>
          <xdr:rowOff>57150</xdr:rowOff>
        </xdr:from>
        <xdr:to>
          <xdr:col>18</xdr:col>
          <xdr:colOff>95250</xdr:colOff>
          <xdr:row>181</xdr:row>
          <xdr:rowOff>104774</xdr:rowOff>
        </xdr:to>
        <xdr:pic>
          <xdr:nvPicPr>
            <xdr:cNvPr id="257508" name="Picture 484"/>
            <xdr:cNvPicPr>
              <a:picLocks noChangeAspect="1" noChangeArrowheads="1"/>
              <a:extLst>
                <a:ext uri="{84589F7E-364E-4C9E-8A38-B11213B215E9}">
                  <a14:cameraTool cellRange="_17星の数照明" spid="_x0000_s257608"/>
                </a:ext>
              </a:extLst>
            </xdr:cNvPicPr>
          </xdr:nvPicPr>
          <xdr:blipFill>
            <a:blip xmlns:r="http://schemas.openxmlformats.org/officeDocument/2006/relationships" r:embed="rId3"/>
            <a:srcRect/>
            <a:stretch>
              <a:fillRect/>
            </a:stretch>
          </xdr:blipFill>
          <xdr:spPr bwMode="auto">
            <a:xfrm>
              <a:off x="5581650" y="46405800"/>
              <a:ext cx="1143000"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176</xdr:row>
          <xdr:rowOff>66675</xdr:rowOff>
        </xdr:from>
        <xdr:to>
          <xdr:col>14</xdr:col>
          <xdr:colOff>47625</xdr:colOff>
          <xdr:row>181</xdr:row>
          <xdr:rowOff>142874</xdr:rowOff>
        </xdr:to>
        <xdr:pic>
          <xdr:nvPicPr>
            <xdr:cNvPr id="257509" name="図 1355"/>
            <xdr:cNvPicPr>
              <a:picLocks noChangeAspect="1" noChangeArrowheads="1"/>
              <a:extLst>
                <a:ext uri="{84589F7E-364E-4C9E-8A38-B11213B215E9}">
                  <a14:cameraTool cellRange="_17星の数空調" spid="_x0000_s257609"/>
                </a:ext>
              </a:extLst>
            </xdr:cNvPicPr>
          </xdr:nvPicPr>
          <xdr:blipFill>
            <a:blip xmlns:r="http://schemas.openxmlformats.org/officeDocument/2006/relationships" r:embed="rId3"/>
            <a:srcRect/>
            <a:stretch>
              <a:fillRect/>
            </a:stretch>
          </xdr:blipFill>
          <xdr:spPr bwMode="auto">
            <a:xfrm>
              <a:off x="4076700" y="46415325"/>
              <a:ext cx="1133475" cy="12192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187</xdr:row>
          <xdr:rowOff>409575</xdr:rowOff>
        </xdr:from>
        <xdr:to>
          <xdr:col>15</xdr:col>
          <xdr:colOff>133350</xdr:colOff>
          <xdr:row>188</xdr:row>
          <xdr:rowOff>428625</xdr:rowOff>
        </xdr:to>
        <xdr:pic>
          <xdr:nvPicPr>
            <xdr:cNvPr id="257510" name="Picture 486"/>
            <xdr:cNvPicPr>
              <a:picLocks noChangeAspect="1" noChangeArrowheads="1"/>
              <a:extLst>
                <a:ext uri="{84589F7E-364E-4C9E-8A38-B11213B215E9}">
                  <a14:cameraTool cellRange="_18空調導入範囲" spid="_x0000_s257610"/>
                </a:ext>
              </a:extLst>
            </xdr:cNvPicPr>
          </xdr:nvPicPr>
          <xdr:blipFill>
            <a:blip xmlns:r="http://schemas.openxmlformats.org/officeDocument/2006/relationships" r:embed="rId4"/>
            <a:srcRect/>
            <a:stretch>
              <a:fillRect/>
            </a:stretch>
          </xdr:blipFill>
          <xdr:spPr bwMode="auto">
            <a:xfrm>
              <a:off x="4486275" y="49501425"/>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186</xdr:row>
          <xdr:rowOff>66675</xdr:rowOff>
        </xdr:from>
        <xdr:to>
          <xdr:col>14</xdr:col>
          <xdr:colOff>57150</xdr:colOff>
          <xdr:row>188</xdr:row>
          <xdr:rowOff>352425</xdr:rowOff>
        </xdr:to>
        <xdr:pic>
          <xdr:nvPicPr>
            <xdr:cNvPr id="257511" name="図 1374"/>
            <xdr:cNvPicPr>
              <a:picLocks noChangeAspect="1" noChangeArrowheads="1"/>
              <a:extLst>
                <a:ext uri="{84589F7E-364E-4C9E-8A38-B11213B215E9}">
                  <a14:cameraTool cellRange="_18星の数空調" spid="_x0000_s257611"/>
                </a:ext>
              </a:extLst>
            </xdr:cNvPicPr>
          </xdr:nvPicPr>
          <xdr:blipFill>
            <a:blip xmlns:r="http://schemas.openxmlformats.org/officeDocument/2006/relationships" r:embed="rId3"/>
            <a:srcRect/>
            <a:stretch>
              <a:fillRect/>
            </a:stretch>
          </xdr:blipFill>
          <xdr:spPr bwMode="auto">
            <a:xfrm>
              <a:off x="4076700" y="48701325"/>
              <a:ext cx="1143000" cy="12001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187</xdr:row>
          <xdr:rowOff>133350</xdr:rowOff>
        </xdr:from>
        <xdr:to>
          <xdr:col>19</xdr:col>
          <xdr:colOff>152400</xdr:colOff>
          <xdr:row>188</xdr:row>
          <xdr:rowOff>314325</xdr:rowOff>
        </xdr:to>
        <xdr:pic>
          <xdr:nvPicPr>
            <xdr:cNvPr id="257512" name="Picture 488"/>
            <xdr:cNvPicPr>
              <a:picLocks noChangeAspect="1" noChangeArrowheads="1"/>
              <a:extLst>
                <a:ext uri="{84589F7E-364E-4C9E-8A38-B11213B215E9}">
                  <a14:cameraTool cellRange="_18照明制御" spid="_x0000_s257612"/>
                </a:ext>
              </a:extLst>
            </xdr:cNvPicPr>
          </xdr:nvPicPr>
          <xdr:blipFill>
            <a:blip xmlns:r="http://schemas.openxmlformats.org/officeDocument/2006/relationships" r:embed="rId2"/>
            <a:srcRect/>
            <a:stretch>
              <a:fillRect/>
            </a:stretch>
          </xdr:blipFill>
          <xdr:spPr bwMode="auto">
            <a:xfrm>
              <a:off x="6276975" y="49225200"/>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187</xdr:row>
          <xdr:rowOff>419100</xdr:rowOff>
        </xdr:from>
        <xdr:to>
          <xdr:col>18</xdr:col>
          <xdr:colOff>504825</xdr:colOff>
          <xdr:row>188</xdr:row>
          <xdr:rowOff>438150</xdr:rowOff>
        </xdr:to>
        <xdr:pic>
          <xdr:nvPicPr>
            <xdr:cNvPr id="257513" name="Picture 489"/>
            <xdr:cNvPicPr>
              <a:picLocks noChangeAspect="1" noChangeArrowheads="1"/>
              <a:extLst>
                <a:ext uri="{84589F7E-364E-4C9E-8A38-B11213B215E9}">
                  <a14:cameraTool cellRange="_18照明導入範囲" spid="_x0000_s257613"/>
                </a:ext>
              </a:extLst>
            </xdr:cNvPicPr>
          </xdr:nvPicPr>
          <xdr:blipFill>
            <a:blip xmlns:r="http://schemas.openxmlformats.org/officeDocument/2006/relationships" r:embed="rId4"/>
            <a:srcRect/>
            <a:stretch>
              <a:fillRect/>
            </a:stretch>
          </xdr:blipFill>
          <xdr:spPr bwMode="auto">
            <a:xfrm>
              <a:off x="5991225" y="4951095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186</xdr:row>
          <xdr:rowOff>47625</xdr:rowOff>
        </xdr:from>
        <xdr:to>
          <xdr:col>18</xdr:col>
          <xdr:colOff>104775</xdr:colOff>
          <xdr:row>188</xdr:row>
          <xdr:rowOff>323850</xdr:rowOff>
        </xdr:to>
        <xdr:pic>
          <xdr:nvPicPr>
            <xdr:cNvPr id="257514" name="Picture 490"/>
            <xdr:cNvPicPr>
              <a:picLocks noChangeAspect="1" noChangeArrowheads="1"/>
              <a:extLst>
                <a:ext uri="{84589F7E-364E-4C9E-8A38-B11213B215E9}">
                  <a14:cameraTool cellRange="_18星の数照明" spid="_x0000_s257614"/>
                </a:ext>
              </a:extLst>
            </xdr:cNvPicPr>
          </xdr:nvPicPr>
          <xdr:blipFill>
            <a:blip xmlns:r="http://schemas.openxmlformats.org/officeDocument/2006/relationships" r:embed="rId3"/>
            <a:srcRect/>
            <a:stretch>
              <a:fillRect/>
            </a:stretch>
          </xdr:blipFill>
          <xdr:spPr bwMode="auto">
            <a:xfrm>
              <a:off x="5581650" y="48682275"/>
              <a:ext cx="1152525"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194</xdr:row>
          <xdr:rowOff>400050</xdr:rowOff>
        </xdr:from>
        <xdr:to>
          <xdr:col>15</xdr:col>
          <xdr:colOff>133350</xdr:colOff>
          <xdr:row>195</xdr:row>
          <xdr:rowOff>428625</xdr:rowOff>
        </xdr:to>
        <xdr:pic>
          <xdr:nvPicPr>
            <xdr:cNvPr id="257515" name="Picture 491"/>
            <xdr:cNvPicPr>
              <a:picLocks noChangeAspect="1" noChangeArrowheads="1"/>
              <a:extLst>
                <a:ext uri="{84589F7E-364E-4C9E-8A38-B11213B215E9}">
                  <a14:cameraTool cellRange="_19空調導入範囲" spid="_x0000_s257615"/>
                </a:ext>
              </a:extLst>
            </xdr:cNvPicPr>
          </xdr:nvPicPr>
          <xdr:blipFill>
            <a:blip xmlns:r="http://schemas.openxmlformats.org/officeDocument/2006/relationships" r:embed="rId4"/>
            <a:srcRect/>
            <a:stretch>
              <a:fillRect/>
            </a:stretch>
          </xdr:blipFill>
          <xdr:spPr bwMode="auto">
            <a:xfrm>
              <a:off x="4486275" y="51777900"/>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193</xdr:row>
          <xdr:rowOff>57150</xdr:rowOff>
        </xdr:from>
        <xdr:to>
          <xdr:col>14</xdr:col>
          <xdr:colOff>76200</xdr:colOff>
          <xdr:row>195</xdr:row>
          <xdr:rowOff>333375</xdr:rowOff>
        </xdr:to>
        <xdr:pic>
          <xdr:nvPicPr>
            <xdr:cNvPr id="257516" name="図 1414"/>
            <xdr:cNvPicPr>
              <a:picLocks noChangeAspect="1" noChangeArrowheads="1"/>
              <a:extLst>
                <a:ext uri="{84589F7E-364E-4C9E-8A38-B11213B215E9}">
                  <a14:cameraTool cellRange="_19星の数空調" spid="_x0000_s257616"/>
                </a:ext>
              </a:extLst>
            </xdr:cNvPicPr>
          </xdr:nvPicPr>
          <xdr:blipFill>
            <a:blip xmlns:r="http://schemas.openxmlformats.org/officeDocument/2006/relationships" r:embed="rId3"/>
            <a:srcRect/>
            <a:stretch>
              <a:fillRect/>
            </a:stretch>
          </xdr:blipFill>
          <xdr:spPr bwMode="auto">
            <a:xfrm>
              <a:off x="4076700" y="50977800"/>
              <a:ext cx="1162050"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194</xdr:row>
          <xdr:rowOff>133350</xdr:rowOff>
        </xdr:from>
        <xdr:to>
          <xdr:col>19</xdr:col>
          <xdr:colOff>152400</xdr:colOff>
          <xdr:row>195</xdr:row>
          <xdr:rowOff>314325</xdr:rowOff>
        </xdr:to>
        <xdr:pic>
          <xdr:nvPicPr>
            <xdr:cNvPr id="257517" name="Picture 493"/>
            <xdr:cNvPicPr>
              <a:picLocks noChangeAspect="1" noChangeArrowheads="1"/>
              <a:extLst>
                <a:ext uri="{84589F7E-364E-4C9E-8A38-B11213B215E9}">
                  <a14:cameraTool cellRange="_19照明制御" spid="_x0000_s257617"/>
                </a:ext>
              </a:extLst>
            </xdr:cNvPicPr>
          </xdr:nvPicPr>
          <xdr:blipFill>
            <a:blip xmlns:r="http://schemas.openxmlformats.org/officeDocument/2006/relationships" r:embed="rId2"/>
            <a:srcRect/>
            <a:stretch>
              <a:fillRect/>
            </a:stretch>
          </xdr:blipFill>
          <xdr:spPr bwMode="auto">
            <a:xfrm>
              <a:off x="6276975" y="51511200"/>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194</xdr:row>
          <xdr:rowOff>419100</xdr:rowOff>
        </xdr:from>
        <xdr:to>
          <xdr:col>18</xdr:col>
          <xdr:colOff>504825</xdr:colOff>
          <xdr:row>195</xdr:row>
          <xdr:rowOff>438150</xdr:rowOff>
        </xdr:to>
        <xdr:pic>
          <xdr:nvPicPr>
            <xdr:cNvPr id="257518" name="Picture 494"/>
            <xdr:cNvPicPr>
              <a:picLocks noChangeAspect="1" noChangeArrowheads="1"/>
              <a:extLst>
                <a:ext uri="{84589F7E-364E-4C9E-8A38-B11213B215E9}">
                  <a14:cameraTool cellRange="_19照明導入範囲" spid="_x0000_s257618"/>
                </a:ext>
              </a:extLst>
            </xdr:cNvPicPr>
          </xdr:nvPicPr>
          <xdr:blipFill>
            <a:blip xmlns:r="http://schemas.openxmlformats.org/officeDocument/2006/relationships" r:embed="rId4"/>
            <a:srcRect/>
            <a:stretch>
              <a:fillRect/>
            </a:stretch>
          </xdr:blipFill>
          <xdr:spPr bwMode="auto">
            <a:xfrm>
              <a:off x="5991225" y="5179695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193</xdr:row>
          <xdr:rowOff>47625</xdr:rowOff>
        </xdr:from>
        <xdr:to>
          <xdr:col>18</xdr:col>
          <xdr:colOff>104775</xdr:colOff>
          <xdr:row>195</xdr:row>
          <xdr:rowOff>323850</xdr:rowOff>
        </xdr:to>
        <xdr:pic>
          <xdr:nvPicPr>
            <xdr:cNvPr id="257519" name="Picture 495"/>
            <xdr:cNvPicPr>
              <a:picLocks noChangeAspect="1" noChangeArrowheads="1"/>
              <a:extLst>
                <a:ext uri="{84589F7E-364E-4C9E-8A38-B11213B215E9}">
                  <a14:cameraTool cellRange="_19星の数照明" spid="_x0000_s257619"/>
                </a:ext>
              </a:extLst>
            </xdr:cNvPicPr>
          </xdr:nvPicPr>
          <xdr:blipFill>
            <a:blip xmlns:r="http://schemas.openxmlformats.org/officeDocument/2006/relationships" r:embed="rId3"/>
            <a:srcRect/>
            <a:stretch>
              <a:fillRect/>
            </a:stretch>
          </xdr:blipFill>
          <xdr:spPr bwMode="auto">
            <a:xfrm>
              <a:off x="5581650" y="50968275"/>
              <a:ext cx="1152525"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201</xdr:row>
          <xdr:rowOff>400050</xdr:rowOff>
        </xdr:from>
        <xdr:to>
          <xdr:col>15</xdr:col>
          <xdr:colOff>133350</xdr:colOff>
          <xdr:row>202</xdr:row>
          <xdr:rowOff>428625</xdr:rowOff>
        </xdr:to>
        <xdr:pic>
          <xdr:nvPicPr>
            <xdr:cNvPr id="257520" name="Picture 496"/>
            <xdr:cNvPicPr>
              <a:picLocks noChangeAspect="1" noChangeArrowheads="1"/>
              <a:extLst>
                <a:ext uri="{84589F7E-364E-4C9E-8A38-B11213B215E9}">
                  <a14:cameraTool cellRange="_20空調導入範囲" spid="_x0000_s257620"/>
                </a:ext>
              </a:extLst>
            </xdr:cNvPicPr>
          </xdr:nvPicPr>
          <xdr:blipFill>
            <a:blip xmlns:r="http://schemas.openxmlformats.org/officeDocument/2006/relationships" r:embed="rId4"/>
            <a:srcRect/>
            <a:stretch>
              <a:fillRect/>
            </a:stretch>
          </xdr:blipFill>
          <xdr:spPr bwMode="auto">
            <a:xfrm>
              <a:off x="4486275" y="54063900"/>
              <a:ext cx="1143000" cy="485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200</xdr:row>
          <xdr:rowOff>57150</xdr:rowOff>
        </xdr:from>
        <xdr:to>
          <xdr:col>14</xdr:col>
          <xdr:colOff>76200</xdr:colOff>
          <xdr:row>202</xdr:row>
          <xdr:rowOff>333375</xdr:rowOff>
        </xdr:to>
        <xdr:pic>
          <xdr:nvPicPr>
            <xdr:cNvPr id="257521" name="図 1446"/>
            <xdr:cNvPicPr>
              <a:picLocks noChangeAspect="1" noChangeArrowheads="1"/>
              <a:extLst>
                <a:ext uri="{84589F7E-364E-4C9E-8A38-B11213B215E9}">
                  <a14:cameraTool cellRange="_20星の数空調" spid="_x0000_s257621"/>
                </a:ext>
              </a:extLst>
            </xdr:cNvPicPr>
          </xdr:nvPicPr>
          <xdr:blipFill>
            <a:blip xmlns:r="http://schemas.openxmlformats.org/officeDocument/2006/relationships" r:embed="rId3"/>
            <a:srcRect/>
            <a:stretch>
              <a:fillRect/>
            </a:stretch>
          </xdr:blipFill>
          <xdr:spPr bwMode="auto">
            <a:xfrm>
              <a:off x="4076700" y="53263800"/>
              <a:ext cx="1162050" cy="11906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201</xdr:row>
          <xdr:rowOff>133350</xdr:rowOff>
        </xdr:from>
        <xdr:to>
          <xdr:col>19</xdr:col>
          <xdr:colOff>152400</xdr:colOff>
          <xdr:row>202</xdr:row>
          <xdr:rowOff>314325</xdr:rowOff>
        </xdr:to>
        <xdr:pic>
          <xdr:nvPicPr>
            <xdr:cNvPr id="257522" name="Picture 498"/>
            <xdr:cNvPicPr>
              <a:picLocks noChangeAspect="1" noChangeArrowheads="1"/>
              <a:extLst>
                <a:ext uri="{84589F7E-364E-4C9E-8A38-B11213B215E9}">
                  <a14:cameraTool cellRange="_20照明制御" spid="_x0000_s257622"/>
                </a:ext>
              </a:extLst>
            </xdr:cNvPicPr>
          </xdr:nvPicPr>
          <xdr:blipFill>
            <a:blip xmlns:r="http://schemas.openxmlformats.org/officeDocument/2006/relationships" r:embed="rId2"/>
            <a:srcRect/>
            <a:stretch>
              <a:fillRect/>
            </a:stretch>
          </xdr:blipFill>
          <xdr:spPr bwMode="auto">
            <a:xfrm>
              <a:off x="6276975" y="53797200"/>
              <a:ext cx="1152525" cy="6381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201</xdr:row>
          <xdr:rowOff>419100</xdr:rowOff>
        </xdr:from>
        <xdr:to>
          <xdr:col>18</xdr:col>
          <xdr:colOff>504825</xdr:colOff>
          <xdr:row>202</xdr:row>
          <xdr:rowOff>438150</xdr:rowOff>
        </xdr:to>
        <xdr:pic>
          <xdr:nvPicPr>
            <xdr:cNvPr id="257523" name="Picture 499"/>
            <xdr:cNvPicPr>
              <a:picLocks noChangeAspect="1" noChangeArrowheads="1"/>
              <a:extLst>
                <a:ext uri="{84589F7E-364E-4C9E-8A38-B11213B215E9}">
                  <a14:cameraTool cellRange="_20照明導入範囲" spid="_x0000_s257623"/>
                </a:ext>
              </a:extLst>
            </xdr:cNvPicPr>
          </xdr:nvPicPr>
          <xdr:blipFill>
            <a:blip xmlns:r="http://schemas.openxmlformats.org/officeDocument/2006/relationships" r:embed="rId4"/>
            <a:srcRect/>
            <a:stretch>
              <a:fillRect/>
            </a:stretch>
          </xdr:blipFill>
          <xdr:spPr bwMode="auto">
            <a:xfrm>
              <a:off x="5991225" y="54082950"/>
              <a:ext cx="1143000" cy="476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200</xdr:row>
          <xdr:rowOff>47625</xdr:rowOff>
        </xdr:from>
        <xdr:to>
          <xdr:col>18</xdr:col>
          <xdr:colOff>95250</xdr:colOff>
          <xdr:row>202</xdr:row>
          <xdr:rowOff>323850</xdr:rowOff>
        </xdr:to>
        <xdr:pic>
          <xdr:nvPicPr>
            <xdr:cNvPr id="257524" name="Picture 500"/>
            <xdr:cNvPicPr>
              <a:picLocks noChangeAspect="1" noChangeArrowheads="1"/>
              <a:extLst>
                <a:ext uri="{84589F7E-364E-4C9E-8A38-B11213B215E9}">
                  <a14:cameraTool cellRange="_20星の数照明" spid="_x0000_s257624"/>
                </a:ext>
              </a:extLst>
            </xdr:cNvPicPr>
          </xdr:nvPicPr>
          <xdr:blipFill>
            <a:blip xmlns:r="http://schemas.openxmlformats.org/officeDocument/2006/relationships" r:embed="rId3"/>
            <a:srcRect/>
            <a:stretch>
              <a:fillRect/>
            </a:stretch>
          </xdr:blipFill>
          <xdr:spPr bwMode="auto">
            <a:xfrm>
              <a:off x="5581650" y="53254275"/>
              <a:ext cx="1143000" cy="119062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8282</xdr:colOff>
      <xdr:row>80</xdr:row>
      <xdr:rowOff>8283</xdr:rowOff>
    </xdr:from>
    <xdr:to>
      <xdr:col>19</xdr:col>
      <xdr:colOff>44152</xdr:colOff>
      <xdr:row>80</xdr:row>
      <xdr:rowOff>8283</xdr:rowOff>
    </xdr:to>
    <xdr:cxnSp macro="">
      <xdr:nvCxnSpPr>
        <xdr:cNvPr id="8" name="直線コネクタ 7"/>
        <xdr:cNvCxnSpPr/>
      </xdr:nvCxnSpPr>
      <xdr:spPr>
        <a:xfrm>
          <a:off x="8282" y="21832957"/>
          <a:ext cx="7308000" cy="0"/>
        </a:xfrm>
        <a:prstGeom prst="line">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122</xdr:row>
      <xdr:rowOff>2435</xdr:rowOff>
    </xdr:from>
    <xdr:to>
      <xdr:col>19</xdr:col>
      <xdr:colOff>35870</xdr:colOff>
      <xdr:row>122</xdr:row>
      <xdr:rowOff>2435</xdr:rowOff>
    </xdr:to>
    <xdr:cxnSp macro="">
      <xdr:nvCxnSpPr>
        <xdr:cNvPr id="721" name="直線コネクタ 720"/>
        <xdr:cNvCxnSpPr/>
      </xdr:nvCxnSpPr>
      <xdr:spPr>
        <a:xfrm>
          <a:off x="0" y="32835670"/>
          <a:ext cx="7330899" cy="0"/>
        </a:xfrm>
        <a:prstGeom prst="line">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163</xdr:row>
      <xdr:rowOff>136905</xdr:rowOff>
    </xdr:from>
    <xdr:to>
      <xdr:col>19</xdr:col>
      <xdr:colOff>35870</xdr:colOff>
      <xdr:row>163</xdr:row>
      <xdr:rowOff>136905</xdr:rowOff>
    </xdr:to>
    <xdr:cxnSp macro="">
      <xdr:nvCxnSpPr>
        <xdr:cNvPr id="723" name="直線コネクタ 722"/>
        <xdr:cNvCxnSpPr/>
      </xdr:nvCxnSpPr>
      <xdr:spPr>
        <a:xfrm>
          <a:off x="0" y="43929493"/>
          <a:ext cx="7330899" cy="0"/>
        </a:xfrm>
        <a:prstGeom prst="line">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206</xdr:row>
      <xdr:rowOff>2435</xdr:rowOff>
    </xdr:from>
    <xdr:to>
      <xdr:col>19</xdr:col>
      <xdr:colOff>35870</xdr:colOff>
      <xdr:row>206</xdr:row>
      <xdr:rowOff>2435</xdr:rowOff>
    </xdr:to>
    <xdr:cxnSp macro="">
      <xdr:nvCxnSpPr>
        <xdr:cNvPr id="727" name="直線コネクタ 726"/>
        <xdr:cNvCxnSpPr/>
      </xdr:nvCxnSpPr>
      <xdr:spPr>
        <a:xfrm>
          <a:off x="0" y="55045729"/>
          <a:ext cx="7330899" cy="0"/>
        </a:xfrm>
        <a:prstGeom prst="line">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8282</xdr:colOff>
      <xdr:row>36</xdr:row>
      <xdr:rowOff>142756</xdr:rowOff>
    </xdr:from>
    <xdr:to>
      <xdr:col>19</xdr:col>
      <xdr:colOff>44152</xdr:colOff>
      <xdr:row>36</xdr:row>
      <xdr:rowOff>142756</xdr:rowOff>
    </xdr:to>
    <xdr:cxnSp macro="">
      <xdr:nvCxnSpPr>
        <xdr:cNvPr id="728" name="直線コネクタ 727"/>
        <xdr:cNvCxnSpPr/>
      </xdr:nvCxnSpPr>
      <xdr:spPr>
        <a:xfrm>
          <a:off x="8282" y="10496991"/>
          <a:ext cx="7330899" cy="0"/>
        </a:xfrm>
        <a:prstGeom prst="line">
          <a:avLst/>
        </a:prstGeom>
        <a:ln w="6350">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266700</xdr:colOff>
          <xdr:row>32</xdr:row>
          <xdr:rowOff>171450</xdr:rowOff>
        </xdr:from>
        <xdr:to>
          <xdr:col>6</xdr:col>
          <xdr:colOff>28575</xdr:colOff>
          <xdr:row>34</xdr:row>
          <xdr:rowOff>0</xdr:rowOff>
        </xdr:to>
        <xdr:sp macro="" textlink="">
          <xdr:nvSpPr>
            <xdr:cNvPr id="26625" name="Check Box 1" hidden="1">
              <a:extLst>
                <a:ext uri="{63B3BB69-23CF-44E3-9099-C40C66FF867C}">
                  <a14:compatExt spid="_x0000_s266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33</xdr:row>
          <xdr:rowOff>171450</xdr:rowOff>
        </xdr:from>
        <xdr:to>
          <xdr:col>6</xdr:col>
          <xdr:colOff>28575</xdr:colOff>
          <xdr:row>35</xdr:row>
          <xdr:rowOff>0</xdr:rowOff>
        </xdr:to>
        <xdr:sp macro="" textlink="">
          <xdr:nvSpPr>
            <xdr:cNvPr id="26626" name="Check Box 2" hidden="1">
              <a:extLst>
                <a:ext uri="{63B3BB69-23CF-44E3-9099-C40C66FF867C}">
                  <a14:compatExt spid="_x0000_s26626"/>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158737</xdr:colOff>
      <xdr:row>26</xdr:row>
      <xdr:rowOff>35469</xdr:rowOff>
    </xdr:from>
    <xdr:to>
      <xdr:col>1</xdr:col>
      <xdr:colOff>945942</xdr:colOff>
      <xdr:row>26</xdr:row>
      <xdr:rowOff>922820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844537" y="9255669"/>
          <a:ext cx="787205" cy="887351"/>
        </a:xfrm>
        <a:prstGeom prst="rect">
          <a:avLst/>
        </a:prstGeom>
        <a:noFill/>
        <a:ln w="9525">
          <a:noFill/>
          <a:miter lim="800000"/>
          <a:headEnd/>
          <a:tailEnd/>
        </a:ln>
      </xdr:spPr>
    </xdr:pic>
    <xdr:clientData/>
  </xdr:twoCellAnchor>
  <xdr:twoCellAnchor editAs="oneCell">
    <xdr:from>
      <xdr:col>1</xdr:col>
      <xdr:colOff>32657</xdr:colOff>
      <xdr:row>9</xdr:row>
      <xdr:rowOff>299357</xdr:rowOff>
    </xdr:from>
    <xdr:to>
      <xdr:col>1</xdr:col>
      <xdr:colOff>805541</xdr:colOff>
      <xdr:row>10</xdr:row>
      <xdr:rowOff>597136</xdr:rowOff>
    </xdr:to>
    <xdr:pic>
      <xdr:nvPicPr>
        <xdr:cNvPr id="3" name="図 2" descr="スライド3.jpg"/>
        <xdr:cNvPicPr>
          <a:picLocks noChangeAspect="1"/>
        </xdr:cNvPicPr>
      </xdr:nvPicPr>
      <xdr:blipFill>
        <a:blip xmlns:r="http://schemas.openxmlformats.org/officeDocument/2006/relationships" r:embed="rId2" cstate="print"/>
        <a:stretch>
          <a:fillRect/>
        </a:stretch>
      </xdr:blipFill>
      <xdr:spPr>
        <a:xfrm>
          <a:off x="718457" y="3242582"/>
          <a:ext cx="772884" cy="774029"/>
        </a:xfrm>
        <a:prstGeom prst="rect">
          <a:avLst/>
        </a:prstGeom>
      </xdr:spPr>
    </xdr:pic>
    <xdr:clientData/>
  </xdr:twoCellAnchor>
  <xdr:twoCellAnchor editAs="oneCell">
    <xdr:from>
      <xdr:col>4</xdr:col>
      <xdr:colOff>229251</xdr:colOff>
      <xdr:row>24</xdr:row>
      <xdr:rowOff>78969</xdr:rowOff>
    </xdr:from>
    <xdr:to>
      <xdr:col>4</xdr:col>
      <xdr:colOff>980416</xdr:colOff>
      <xdr:row>24</xdr:row>
      <xdr:rowOff>471369</xdr:rowOff>
    </xdr:to>
    <xdr:pic>
      <xdr:nvPicPr>
        <xdr:cNvPr id="7" name="図 6" descr="スライド1.jpg"/>
        <xdr:cNvPicPr>
          <a:picLocks noChangeAspect="1"/>
        </xdr:cNvPicPr>
      </xdr:nvPicPr>
      <xdr:blipFill>
        <a:blip xmlns:r="http://schemas.openxmlformats.org/officeDocument/2006/relationships" r:embed="rId3" cstate="print"/>
        <a:stretch>
          <a:fillRect/>
        </a:stretch>
      </xdr:blipFill>
      <xdr:spPr>
        <a:xfrm>
          <a:off x="4353576" y="8213319"/>
          <a:ext cx="751165" cy="392400"/>
        </a:xfrm>
        <a:prstGeom prst="rect">
          <a:avLst/>
        </a:prstGeom>
      </xdr:spPr>
    </xdr:pic>
    <xdr:clientData/>
  </xdr:twoCellAnchor>
  <xdr:twoCellAnchor editAs="oneCell">
    <xdr:from>
      <xdr:col>1</xdr:col>
      <xdr:colOff>245405</xdr:colOff>
      <xdr:row>24</xdr:row>
      <xdr:rowOff>82826</xdr:rowOff>
    </xdr:from>
    <xdr:to>
      <xdr:col>1</xdr:col>
      <xdr:colOff>1058204</xdr:colOff>
      <xdr:row>24</xdr:row>
      <xdr:rowOff>472107</xdr:rowOff>
    </xdr:to>
    <xdr:pic>
      <xdr:nvPicPr>
        <xdr:cNvPr id="8" name="図 7" descr="スライド2.jpg"/>
        <xdr:cNvPicPr>
          <a:picLocks noChangeAspect="1"/>
        </xdr:cNvPicPr>
      </xdr:nvPicPr>
      <xdr:blipFill>
        <a:blip xmlns:r="http://schemas.openxmlformats.org/officeDocument/2006/relationships" r:embed="rId4" cstate="print"/>
        <a:stretch>
          <a:fillRect/>
        </a:stretch>
      </xdr:blipFill>
      <xdr:spPr>
        <a:xfrm>
          <a:off x="931205" y="8217176"/>
          <a:ext cx="812799" cy="389281"/>
        </a:xfrm>
        <a:prstGeom prst="rect">
          <a:avLst/>
        </a:prstGeom>
      </xdr:spPr>
    </xdr:pic>
    <xdr:clientData/>
  </xdr:twoCellAnchor>
  <xdr:twoCellAnchor editAs="oneCell">
    <xdr:from>
      <xdr:col>2</xdr:col>
      <xdr:colOff>215554</xdr:colOff>
      <xdr:row>24</xdr:row>
      <xdr:rowOff>85750</xdr:rowOff>
    </xdr:from>
    <xdr:to>
      <xdr:col>2</xdr:col>
      <xdr:colOff>1029154</xdr:colOff>
      <xdr:row>24</xdr:row>
      <xdr:rowOff>477466</xdr:rowOff>
    </xdr:to>
    <xdr:pic>
      <xdr:nvPicPr>
        <xdr:cNvPr id="9" name="図 8" descr="スライド3.jpg"/>
        <xdr:cNvPicPr>
          <a:picLocks noChangeAspect="1"/>
        </xdr:cNvPicPr>
      </xdr:nvPicPr>
      <xdr:blipFill>
        <a:blip xmlns:r="http://schemas.openxmlformats.org/officeDocument/2006/relationships" r:embed="rId5" cstate="print"/>
        <a:stretch>
          <a:fillRect/>
        </a:stretch>
      </xdr:blipFill>
      <xdr:spPr>
        <a:xfrm>
          <a:off x="2034829" y="8220100"/>
          <a:ext cx="813600" cy="391716"/>
        </a:xfrm>
        <a:prstGeom prst="rect">
          <a:avLst/>
        </a:prstGeom>
      </xdr:spPr>
    </xdr:pic>
    <xdr:clientData/>
  </xdr:twoCellAnchor>
  <xdr:twoCellAnchor editAs="oneCell">
    <xdr:from>
      <xdr:col>3</xdr:col>
      <xdr:colOff>224039</xdr:colOff>
      <xdr:row>24</xdr:row>
      <xdr:rowOff>86072</xdr:rowOff>
    </xdr:from>
    <xdr:to>
      <xdr:col>3</xdr:col>
      <xdr:colOff>1040242</xdr:colOff>
      <xdr:row>24</xdr:row>
      <xdr:rowOff>477306</xdr:rowOff>
    </xdr:to>
    <xdr:pic>
      <xdr:nvPicPr>
        <xdr:cNvPr id="10" name="図 9" descr="スライド4.jpg"/>
        <xdr:cNvPicPr>
          <a:picLocks noChangeAspect="1"/>
        </xdr:cNvPicPr>
      </xdr:nvPicPr>
      <xdr:blipFill>
        <a:blip xmlns:r="http://schemas.openxmlformats.org/officeDocument/2006/relationships" r:embed="rId6" cstate="print"/>
        <a:stretch>
          <a:fillRect/>
        </a:stretch>
      </xdr:blipFill>
      <xdr:spPr>
        <a:xfrm>
          <a:off x="3195839" y="8220422"/>
          <a:ext cx="816203" cy="391234"/>
        </a:xfrm>
        <a:prstGeom prst="rect">
          <a:avLst/>
        </a:prstGeom>
      </xdr:spPr>
    </xdr:pic>
    <xdr:clientData/>
  </xdr:twoCellAnchor>
  <xdr:twoCellAnchor editAs="oneCell">
    <xdr:from>
      <xdr:col>1</xdr:col>
      <xdr:colOff>410766</xdr:colOff>
      <xdr:row>5</xdr:row>
      <xdr:rowOff>119062</xdr:rowOff>
    </xdr:from>
    <xdr:to>
      <xdr:col>1</xdr:col>
      <xdr:colOff>711718</xdr:colOff>
      <xdr:row>5</xdr:row>
      <xdr:rowOff>972262</xdr:rowOff>
    </xdr:to>
    <xdr:pic>
      <xdr:nvPicPr>
        <xdr:cNvPr id="11" name="図 10" descr="スライド1.jpg"/>
        <xdr:cNvPicPr>
          <a:picLocks noChangeAspect="1"/>
        </xdr:cNvPicPr>
      </xdr:nvPicPr>
      <xdr:blipFill>
        <a:blip xmlns:r="http://schemas.openxmlformats.org/officeDocument/2006/relationships" r:embed="rId7" cstate="print"/>
        <a:stretch>
          <a:fillRect/>
        </a:stretch>
      </xdr:blipFill>
      <xdr:spPr>
        <a:xfrm>
          <a:off x="1096566" y="1214437"/>
          <a:ext cx="300952" cy="853200"/>
        </a:xfrm>
        <a:prstGeom prst="rect">
          <a:avLst/>
        </a:prstGeom>
      </xdr:spPr>
    </xdr:pic>
    <xdr:clientData/>
  </xdr:twoCellAnchor>
  <xdr:twoCellAnchor editAs="oneCell">
    <xdr:from>
      <xdr:col>2</xdr:col>
      <xdr:colOff>422672</xdr:colOff>
      <xdr:row>5</xdr:row>
      <xdr:rowOff>119062</xdr:rowOff>
    </xdr:from>
    <xdr:to>
      <xdr:col>2</xdr:col>
      <xdr:colOff>723624</xdr:colOff>
      <xdr:row>5</xdr:row>
      <xdr:rowOff>972262</xdr:rowOff>
    </xdr:to>
    <xdr:pic>
      <xdr:nvPicPr>
        <xdr:cNvPr id="12" name="図 11" descr="スライド2.jpg"/>
        <xdr:cNvPicPr>
          <a:picLocks noChangeAspect="1"/>
        </xdr:cNvPicPr>
      </xdr:nvPicPr>
      <xdr:blipFill>
        <a:blip xmlns:r="http://schemas.openxmlformats.org/officeDocument/2006/relationships" r:embed="rId8" cstate="print"/>
        <a:stretch>
          <a:fillRect/>
        </a:stretch>
      </xdr:blipFill>
      <xdr:spPr>
        <a:xfrm>
          <a:off x="2241947" y="1214437"/>
          <a:ext cx="300952" cy="853200"/>
        </a:xfrm>
        <a:prstGeom prst="rect">
          <a:avLst/>
        </a:prstGeom>
      </xdr:spPr>
    </xdr:pic>
    <xdr:clientData/>
  </xdr:twoCellAnchor>
  <xdr:twoCellAnchor editAs="oneCell">
    <xdr:from>
      <xdr:col>3</xdr:col>
      <xdr:colOff>428625</xdr:colOff>
      <xdr:row>5</xdr:row>
      <xdr:rowOff>119062</xdr:rowOff>
    </xdr:from>
    <xdr:to>
      <xdr:col>3</xdr:col>
      <xdr:colOff>729577</xdr:colOff>
      <xdr:row>5</xdr:row>
      <xdr:rowOff>972262</xdr:rowOff>
    </xdr:to>
    <xdr:pic>
      <xdr:nvPicPr>
        <xdr:cNvPr id="13" name="図 12" descr="スライド3.jpg"/>
        <xdr:cNvPicPr>
          <a:picLocks noChangeAspect="1"/>
        </xdr:cNvPicPr>
      </xdr:nvPicPr>
      <xdr:blipFill>
        <a:blip xmlns:r="http://schemas.openxmlformats.org/officeDocument/2006/relationships" r:embed="rId9" cstate="print"/>
        <a:stretch>
          <a:fillRect/>
        </a:stretch>
      </xdr:blipFill>
      <xdr:spPr>
        <a:xfrm>
          <a:off x="3400425" y="1214437"/>
          <a:ext cx="300952" cy="853200"/>
        </a:xfrm>
        <a:prstGeom prst="rect">
          <a:avLst/>
        </a:prstGeom>
      </xdr:spPr>
    </xdr:pic>
    <xdr:clientData/>
  </xdr:twoCellAnchor>
  <xdr:twoCellAnchor editAs="oneCell">
    <xdr:from>
      <xdr:col>10</xdr:col>
      <xdr:colOff>89297</xdr:colOff>
      <xdr:row>8</xdr:row>
      <xdr:rowOff>7600</xdr:rowOff>
    </xdr:from>
    <xdr:to>
      <xdr:col>10</xdr:col>
      <xdr:colOff>1099337</xdr:colOff>
      <xdr:row>8</xdr:row>
      <xdr:rowOff>349600</xdr:rowOff>
    </xdr:to>
    <xdr:pic>
      <xdr:nvPicPr>
        <xdr:cNvPr id="14" name="図 13" descr="スライド1.jpg"/>
        <xdr:cNvPicPr>
          <a:picLocks noChangeAspect="1"/>
        </xdr:cNvPicPr>
      </xdr:nvPicPr>
      <xdr:blipFill>
        <a:blip xmlns:r="http://schemas.openxmlformats.org/officeDocument/2006/relationships" r:embed="rId10" cstate="print"/>
        <a:stretch>
          <a:fillRect/>
        </a:stretch>
      </xdr:blipFill>
      <xdr:spPr>
        <a:xfrm>
          <a:off x="11128772" y="2474575"/>
          <a:ext cx="1010040" cy="342000"/>
        </a:xfrm>
        <a:prstGeom prst="rect">
          <a:avLst/>
        </a:prstGeom>
      </xdr:spPr>
    </xdr:pic>
    <xdr:clientData/>
  </xdr:twoCellAnchor>
  <xdr:twoCellAnchor editAs="oneCell">
    <xdr:from>
      <xdr:col>9</xdr:col>
      <xdr:colOff>89296</xdr:colOff>
      <xdr:row>8</xdr:row>
      <xdr:rowOff>7600</xdr:rowOff>
    </xdr:from>
    <xdr:to>
      <xdr:col>9</xdr:col>
      <xdr:colOff>1099336</xdr:colOff>
      <xdr:row>8</xdr:row>
      <xdr:rowOff>349600</xdr:rowOff>
    </xdr:to>
    <xdr:pic>
      <xdr:nvPicPr>
        <xdr:cNvPr id="15" name="図 14" descr="スライド2.jpg"/>
        <xdr:cNvPicPr>
          <a:picLocks noChangeAspect="1"/>
        </xdr:cNvPicPr>
      </xdr:nvPicPr>
      <xdr:blipFill>
        <a:blip xmlns:r="http://schemas.openxmlformats.org/officeDocument/2006/relationships" r:embed="rId11" cstate="print"/>
        <a:stretch>
          <a:fillRect/>
        </a:stretch>
      </xdr:blipFill>
      <xdr:spPr>
        <a:xfrm>
          <a:off x="9976246" y="2474575"/>
          <a:ext cx="1010040" cy="342000"/>
        </a:xfrm>
        <a:prstGeom prst="rect">
          <a:avLst/>
        </a:prstGeom>
      </xdr:spPr>
    </xdr:pic>
    <xdr:clientData/>
  </xdr:twoCellAnchor>
  <xdr:twoCellAnchor editAs="oneCell">
    <xdr:from>
      <xdr:col>8</xdr:col>
      <xdr:colOff>89297</xdr:colOff>
      <xdr:row>8</xdr:row>
      <xdr:rowOff>7601</xdr:rowOff>
    </xdr:from>
    <xdr:to>
      <xdr:col>8</xdr:col>
      <xdr:colOff>1099337</xdr:colOff>
      <xdr:row>8</xdr:row>
      <xdr:rowOff>349601</xdr:rowOff>
    </xdr:to>
    <xdr:pic>
      <xdr:nvPicPr>
        <xdr:cNvPr id="16" name="図 15" descr="スライド3.jpg"/>
        <xdr:cNvPicPr>
          <a:picLocks noChangeAspect="1"/>
        </xdr:cNvPicPr>
      </xdr:nvPicPr>
      <xdr:blipFill>
        <a:blip xmlns:r="http://schemas.openxmlformats.org/officeDocument/2006/relationships" r:embed="rId12" cstate="print"/>
        <a:stretch>
          <a:fillRect/>
        </a:stretch>
      </xdr:blipFill>
      <xdr:spPr>
        <a:xfrm>
          <a:off x="8823722" y="2474576"/>
          <a:ext cx="1010040" cy="342000"/>
        </a:xfrm>
        <a:prstGeom prst="rect">
          <a:avLst/>
        </a:prstGeom>
      </xdr:spPr>
    </xdr:pic>
    <xdr:clientData/>
  </xdr:twoCellAnchor>
  <xdr:twoCellAnchor editAs="oneCell">
    <xdr:from>
      <xdr:col>6</xdr:col>
      <xdr:colOff>89297</xdr:colOff>
      <xdr:row>8</xdr:row>
      <xdr:rowOff>7601</xdr:rowOff>
    </xdr:from>
    <xdr:to>
      <xdr:col>6</xdr:col>
      <xdr:colOff>1099337</xdr:colOff>
      <xdr:row>8</xdr:row>
      <xdr:rowOff>349601</xdr:rowOff>
    </xdr:to>
    <xdr:pic>
      <xdr:nvPicPr>
        <xdr:cNvPr id="17" name="図 16" descr="スライド5.jpg"/>
        <xdr:cNvPicPr>
          <a:picLocks noChangeAspect="1"/>
        </xdr:cNvPicPr>
      </xdr:nvPicPr>
      <xdr:blipFill>
        <a:blip xmlns:r="http://schemas.openxmlformats.org/officeDocument/2006/relationships" r:embed="rId13" cstate="print"/>
        <a:stretch>
          <a:fillRect/>
        </a:stretch>
      </xdr:blipFill>
      <xdr:spPr>
        <a:xfrm>
          <a:off x="6518672" y="2474576"/>
          <a:ext cx="1010040" cy="342000"/>
        </a:xfrm>
        <a:prstGeom prst="rect">
          <a:avLst/>
        </a:prstGeom>
      </xdr:spPr>
    </xdr:pic>
    <xdr:clientData/>
  </xdr:twoCellAnchor>
  <xdr:twoCellAnchor editAs="oneCell">
    <xdr:from>
      <xdr:col>5</xdr:col>
      <xdr:colOff>89297</xdr:colOff>
      <xdr:row>8</xdr:row>
      <xdr:rowOff>7601</xdr:rowOff>
    </xdr:from>
    <xdr:to>
      <xdr:col>5</xdr:col>
      <xdr:colOff>1099337</xdr:colOff>
      <xdr:row>8</xdr:row>
      <xdr:rowOff>349601</xdr:rowOff>
    </xdr:to>
    <xdr:pic>
      <xdr:nvPicPr>
        <xdr:cNvPr id="18" name="図 17" descr="スライド6.jpg"/>
        <xdr:cNvPicPr>
          <a:picLocks noChangeAspect="1"/>
        </xdr:cNvPicPr>
      </xdr:nvPicPr>
      <xdr:blipFill>
        <a:blip xmlns:r="http://schemas.openxmlformats.org/officeDocument/2006/relationships" r:embed="rId14" cstate="print"/>
        <a:stretch>
          <a:fillRect/>
        </a:stretch>
      </xdr:blipFill>
      <xdr:spPr>
        <a:xfrm>
          <a:off x="5366147" y="2474576"/>
          <a:ext cx="1010040" cy="342000"/>
        </a:xfrm>
        <a:prstGeom prst="rect">
          <a:avLst/>
        </a:prstGeom>
      </xdr:spPr>
    </xdr:pic>
    <xdr:clientData/>
  </xdr:twoCellAnchor>
  <xdr:twoCellAnchor editAs="oneCell">
    <xdr:from>
      <xdr:col>4</xdr:col>
      <xdr:colOff>77391</xdr:colOff>
      <xdr:row>8</xdr:row>
      <xdr:rowOff>11906</xdr:rowOff>
    </xdr:from>
    <xdr:to>
      <xdr:col>4</xdr:col>
      <xdr:colOff>1087431</xdr:colOff>
      <xdr:row>8</xdr:row>
      <xdr:rowOff>353906</xdr:rowOff>
    </xdr:to>
    <xdr:pic>
      <xdr:nvPicPr>
        <xdr:cNvPr id="19" name="図 18" descr="スライド7.jpg"/>
        <xdr:cNvPicPr>
          <a:picLocks noChangeAspect="1"/>
        </xdr:cNvPicPr>
      </xdr:nvPicPr>
      <xdr:blipFill>
        <a:blip xmlns:r="http://schemas.openxmlformats.org/officeDocument/2006/relationships" r:embed="rId15" cstate="print"/>
        <a:stretch>
          <a:fillRect/>
        </a:stretch>
      </xdr:blipFill>
      <xdr:spPr>
        <a:xfrm>
          <a:off x="4202907" y="2482453"/>
          <a:ext cx="1010040" cy="342000"/>
        </a:xfrm>
        <a:prstGeom prst="rect">
          <a:avLst/>
        </a:prstGeom>
      </xdr:spPr>
    </xdr:pic>
    <xdr:clientData/>
  </xdr:twoCellAnchor>
  <xdr:twoCellAnchor editAs="oneCell">
    <xdr:from>
      <xdr:col>3</xdr:col>
      <xdr:colOff>83345</xdr:colOff>
      <xdr:row>8</xdr:row>
      <xdr:rowOff>11907</xdr:rowOff>
    </xdr:from>
    <xdr:to>
      <xdr:col>3</xdr:col>
      <xdr:colOff>1093385</xdr:colOff>
      <xdr:row>8</xdr:row>
      <xdr:rowOff>353907</xdr:rowOff>
    </xdr:to>
    <xdr:pic>
      <xdr:nvPicPr>
        <xdr:cNvPr id="20" name="図 19" descr="スライド8.jpg"/>
        <xdr:cNvPicPr>
          <a:picLocks noChangeAspect="1"/>
        </xdr:cNvPicPr>
      </xdr:nvPicPr>
      <xdr:blipFill>
        <a:blip xmlns:r="http://schemas.openxmlformats.org/officeDocument/2006/relationships" r:embed="rId16" cstate="print"/>
        <a:stretch>
          <a:fillRect/>
        </a:stretch>
      </xdr:blipFill>
      <xdr:spPr>
        <a:xfrm>
          <a:off x="3053954" y="2482454"/>
          <a:ext cx="1010040" cy="342000"/>
        </a:xfrm>
        <a:prstGeom prst="rect">
          <a:avLst/>
        </a:prstGeom>
      </xdr:spPr>
    </xdr:pic>
    <xdr:clientData/>
  </xdr:twoCellAnchor>
  <xdr:twoCellAnchor editAs="oneCell">
    <xdr:from>
      <xdr:col>2</xdr:col>
      <xdr:colOff>77391</xdr:colOff>
      <xdr:row>8</xdr:row>
      <xdr:rowOff>11907</xdr:rowOff>
    </xdr:from>
    <xdr:to>
      <xdr:col>2</xdr:col>
      <xdr:colOff>1087431</xdr:colOff>
      <xdr:row>8</xdr:row>
      <xdr:rowOff>353907</xdr:rowOff>
    </xdr:to>
    <xdr:pic>
      <xdr:nvPicPr>
        <xdr:cNvPr id="21" name="図 20" descr="スライド9.jpg"/>
        <xdr:cNvPicPr>
          <a:picLocks noChangeAspect="1"/>
        </xdr:cNvPicPr>
      </xdr:nvPicPr>
      <xdr:blipFill>
        <a:blip xmlns:r="http://schemas.openxmlformats.org/officeDocument/2006/relationships" r:embed="rId17" cstate="print"/>
        <a:stretch>
          <a:fillRect/>
        </a:stretch>
      </xdr:blipFill>
      <xdr:spPr>
        <a:xfrm>
          <a:off x="1893094" y="2482454"/>
          <a:ext cx="1010040" cy="342000"/>
        </a:xfrm>
        <a:prstGeom prst="rect">
          <a:avLst/>
        </a:prstGeom>
      </xdr:spPr>
    </xdr:pic>
    <xdr:clientData/>
  </xdr:twoCellAnchor>
  <xdr:twoCellAnchor editAs="oneCell">
    <xdr:from>
      <xdr:col>1</xdr:col>
      <xdr:colOff>59531</xdr:colOff>
      <xdr:row>8</xdr:row>
      <xdr:rowOff>11907</xdr:rowOff>
    </xdr:from>
    <xdr:to>
      <xdr:col>1</xdr:col>
      <xdr:colOff>1069571</xdr:colOff>
      <xdr:row>8</xdr:row>
      <xdr:rowOff>353907</xdr:rowOff>
    </xdr:to>
    <xdr:pic>
      <xdr:nvPicPr>
        <xdr:cNvPr id="22" name="図 21" descr="スライド10.jpg"/>
        <xdr:cNvPicPr>
          <a:picLocks noChangeAspect="1"/>
        </xdr:cNvPicPr>
      </xdr:nvPicPr>
      <xdr:blipFill>
        <a:blip xmlns:r="http://schemas.openxmlformats.org/officeDocument/2006/relationships" r:embed="rId18" cstate="print"/>
        <a:stretch>
          <a:fillRect/>
        </a:stretch>
      </xdr:blipFill>
      <xdr:spPr>
        <a:xfrm>
          <a:off x="744140" y="2482454"/>
          <a:ext cx="1010040" cy="342000"/>
        </a:xfrm>
        <a:prstGeom prst="rect">
          <a:avLst/>
        </a:prstGeom>
      </xdr:spPr>
    </xdr:pic>
    <xdr:clientData/>
  </xdr:twoCellAnchor>
  <xdr:twoCellAnchor editAs="oneCell">
    <xdr:from>
      <xdr:col>2</xdr:col>
      <xdr:colOff>11653</xdr:colOff>
      <xdr:row>12</xdr:row>
      <xdr:rowOff>4054</xdr:rowOff>
    </xdr:from>
    <xdr:to>
      <xdr:col>2</xdr:col>
      <xdr:colOff>403853</xdr:colOff>
      <xdr:row>12</xdr:row>
      <xdr:rowOff>400054</xdr:rowOff>
    </xdr:to>
    <xdr:pic>
      <xdr:nvPicPr>
        <xdr:cNvPr id="23" name="図 22" descr="スライド14.jpg"/>
        <xdr:cNvPicPr>
          <a:picLocks noChangeAspect="1"/>
        </xdr:cNvPicPr>
      </xdr:nvPicPr>
      <xdr:blipFill>
        <a:blip xmlns:r="http://schemas.openxmlformats.org/officeDocument/2006/relationships" r:embed="rId19" cstate="print"/>
        <a:stretch>
          <a:fillRect/>
        </a:stretch>
      </xdr:blipFill>
      <xdr:spPr>
        <a:xfrm>
          <a:off x="1831536" y="4393660"/>
          <a:ext cx="392200" cy="396000"/>
        </a:xfrm>
        <a:prstGeom prst="rect">
          <a:avLst/>
        </a:prstGeom>
      </xdr:spPr>
    </xdr:pic>
    <xdr:clientData/>
  </xdr:twoCellAnchor>
  <xdr:twoCellAnchor editAs="oneCell">
    <xdr:from>
      <xdr:col>1</xdr:col>
      <xdr:colOff>356680</xdr:colOff>
      <xdr:row>14</xdr:row>
      <xdr:rowOff>5590</xdr:rowOff>
    </xdr:from>
    <xdr:to>
      <xdr:col>1</xdr:col>
      <xdr:colOff>752680</xdr:colOff>
      <xdr:row>15</xdr:row>
      <xdr:rowOff>325</xdr:rowOff>
    </xdr:to>
    <xdr:pic>
      <xdr:nvPicPr>
        <xdr:cNvPr id="24" name="図 23" descr="スライド5.jpg"/>
        <xdr:cNvPicPr>
          <a:picLocks noChangeAspect="1"/>
        </xdr:cNvPicPr>
      </xdr:nvPicPr>
      <xdr:blipFill>
        <a:blip xmlns:r="http://schemas.openxmlformats.org/officeDocument/2006/relationships" r:embed="rId20" cstate="print"/>
        <a:stretch>
          <a:fillRect/>
        </a:stretch>
      </xdr:blipFill>
      <xdr:spPr>
        <a:xfrm>
          <a:off x="1039852" y="5004573"/>
          <a:ext cx="396000" cy="395442"/>
        </a:xfrm>
        <a:prstGeom prst="rect">
          <a:avLst/>
        </a:prstGeom>
      </xdr:spPr>
    </xdr:pic>
    <xdr:clientData/>
  </xdr:twoCellAnchor>
  <xdr:twoCellAnchor editAs="oneCell">
    <xdr:from>
      <xdr:col>2</xdr:col>
      <xdr:colOff>356680</xdr:colOff>
      <xdr:row>14</xdr:row>
      <xdr:rowOff>2868</xdr:rowOff>
    </xdr:from>
    <xdr:to>
      <xdr:col>2</xdr:col>
      <xdr:colOff>752680</xdr:colOff>
      <xdr:row>14</xdr:row>
      <xdr:rowOff>397188</xdr:rowOff>
    </xdr:to>
    <xdr:pic>
      <xdr:nvPicPr>
        <xdr:cNvPr id="25" name="図 24" descr="スライド6.jpg"/>
        <xdr:cNvPicPr>
          <a:picLocks noChangeAspect="1"/>
        </xdr:cNvPicPr>
      </xdr:nvPicPr>
      <xdr:blipFill>
        <a:blip xmlns:r="http://schemas.openxmlformats.org/officeDocument/2006/relationships" r:embed="rId21" cstate="print"/>
        <a:stretch>
          <a:fillRect/>
        </a:stretch>
      </xdr:blipFill>
      <xdr:spPr>
        <a:xfrm>
          <a:off x="2178046" y="4997685"/>
          <a:ext cx="396000" cy="394320"/>
        </a:xfrm>
        <a:prstGeom prst="rect">
          <a:avLst/>
        </a:prstGeom>
      </xdr:spPr>
    </xdr:pic>
    <xdr:clientData/>
  </xdr:twoCellAnchor>
  <xdr:twoCellAnchor editAs="oneCell">
    <xdr:from>
      <xdr:col>4</xdr:col>
      <xdr:colOff>356748</xdr:colOff>
      <xdr:row>14</xdr:row>
      <xdr:rowOff>2868</xdr:rowOff>
    </xdr:from>
    <xdr:to>
      <xdr:col>4</xdr:col>
      <xdr:colOff>752748</xdr:colOff>
      <xdr:row>14</xdr:row>
      <xdr:rowOff>397188</xdr:rowOff>
    </xdr:to>
    <xdr:pic>
      <xdr:nvPicPr>
        <xdr:cNvPr id="26" name="図 25" descr="スライド7.jpg"/>
        <xdr:cNvPicPr>
          <a:picLocks noChangeAspect="1"/>
        </xdr:cNvPicPr>
      </xdr:nvPicPr>
      <xdr:blipFill>
        <a:blip xmlns:r="http://schemas.openxmlformats.org/officeDocument/2006/relationships" r:embed="rId22" cstate="print"/>
        <a:stretch>
          <a:fillRect/>
        </a:stretch>
      </xdr:blipFill>
      <xdr:spPr>
        <a:xfrm>
          <a:off x="4479943" y="4997843"/>
          <a:ext cx="396000" cy="394320"/>
        </a:xfrm>
        <a:prstGeom prst="rect">
          <a:avLst/>
        </a:prstGeom>
      </xdr:spPr>
    </xdr:pic>
    <xdr:clientData/>
  </xdr:twoCellAnchor>
  <xdr:twoCellAnchor editAs="oneCell">
    <xdr:from>
      <xdr:col>3</xdr:col>
      <xdr:colOff>354277</xdr:colOff>
      <xdr:row>14</xdr:row>
      <xdr:rowOff>2867</xdr:rowOff>
    </xdr:from>
    <xdr:to>
      <xdr:col>3</xdr:col>
      <xdr:colOff>750277</xdr:colOff>
      <xdr:row>14</xdr:row>
      <xdr:rowOff>397187</xdr:rowOff>
    </xdr:to>
    <xdr:pic>
      <xdr:nvPicPr>
        <xdr:cNvPr id="27" name="図 26" descr="スライド8.jpg"/>
        <xdr:cNvPicPr>
          <a:picLocks noChangeAspect="1"/>
        </xdr:cNvPicPr>
      </xdr:nvPicPr>
      <xdr:blipFill>
        <a:blip xmlns:r="http://schemas.openxmlformats.org/officeDocument/2006/relationships" r:embed="rId23" cstate="print"/>
        <a:stretch>
          <a:fillRect/>
        </a:stretch>
      </xdr:blipFill>
      <xdr:spPr>
        <a:xfrm>
          <a:off x="3324785" y="4997842"/>
          <a:ext cx="396000" cy="394320"/>
        </a:xfrm>
        <a:prstGeom prst="rect">
          <a:avLst/>
        </a:prstGeom>
      </xdr:spPr>
    </xdr:pic>
    <xdr:clientData/>
  </xdr:twoCellAnchor>
  <xdr:twoCellAnchor editAs="oneCell">
    <xdr:from>
      <xdr:col>5</xdr:col>
      <xdr:colOff>357573</xdr:colOff>
      <xdr:row>14</xdr:row>
      <xdr:rowOff>3691</xdr:rowOff>
    </xdr:from>
    <xdr:to>
      <xdr:col>5</xdr:col>
      <xdr:colOff>753573</xdr:colOff>
      <xdr:row>14</xdr:row>
      <xdr:rowOff>398798</xdr:rowOff>
    </xdr:to>
    <xdr:pic>
      <xdr:nvPicPr>
        <xdr:cNvPr id="28" name="図 27" descr="スライド9.jpg"/>
        <xdr:cNvPicPr>
          <a:picLocks noChangeAspect="1"/>
        </xdr:cNvPicPr>
      </xdr:nvPicPr>
      <xdr:blipFill>
        <a:blip xmlns:r="http://schemas.openxmlformats.org/officeDocument/2006/relationships" r:embed="rId24" cstate="print"/>
        <a:stretch>
          <a:fillRect/>
        </a:stretch>
      </xdr:blipFill>
      <xdr:spPr>
        <a:xfrm>
          <a:off x="5633454" y="4998666"/>
          <a:ext cx="396000" cy="395107"/>
        </a:xfrm>
        <a:prstGeom prst="rect">
          <a:avLst/>
        </a:prstGeom>
      </xdr:spPr>
    </xdr:pic>
    <xdr:clientData/>
  </xdr:twoCellAnchor>
  <xdr:twoCellAnchor editAs="oneCell">
    <xdr:from>
      <xdr:col>6</xdr:col>
      <xdr:colOff>354276</xdr:colOff>
      <xdr:row>14</xdr:row>
      <xdr:rowOff>2867</xdr:rowOff>
    </xdr:from>
    <xdr:to>
      <xdr:col>6</xdr:col>
      <xdr:colOff>750276</xdr:colOff>
      <xdr:row>14</xdr:row>
      <xdr:rowOff>397187</xdr:rowOff>
    </xdr:to>
    <xdr:pic>
      <xdr:nvPicPr>
        <xdr:cNvPr id="29" name="図 28" descr="スライド10.jpg"/>
        <xdr:cNvPicPr>
          <a:picLocks noChangeAspect="1"/>
        </xdr:cNvPicPr>
      </xdr:nvPicPr>
      <xdr:blipFill>
        <a:blip xmlns:r="http://schemas.openxmlformats.org/officeDocument/2006/relationships" r:embed="rId25" cstate="print"/>
        <a:stretch>
          <a:fillRect/>
        </a:stretch>
      </xdr:blipFill>
      <xdr:spPr>
        <a:xfrm>
          <a:off x="6782844" y="4997842"/>
          <a:ext cx="396000" cy="394320"/>
        </a:xfrm>
        <a:prstGeom prst="rect">
          <a:avLst/>
        </a:prstGeom>
      </xdr:spPr>
    </xdr:pic>
    <xdr:clientData/>
  </xdr:twoCellAnchor>
  <xdr:twoCellAnchor editAs="oneCell">
    <xdr:from>
      <xdr:col>1</xdr:col>
      <xdr:colOff>356681</xdr:colOff>
      <xdr:row>17</xdr:row>
      <xdr:rowOff>23555</xdr:rowOff>
    </xdr:from>
    <xdr:to>
      <xdr:col>1</xdr:col>
      <xdr:colOff>752681</xdr:colOff>
      <xdr:row>18</xdr:row>
      <xdr:rowOff>18288</xdr:rowOff>
    </xdr:to>
    <xdr:pic>
      <xdr:nvPicPr>
        <xdr:cNvPr id="30" name="図 29" descr="スライド15.jpg"/>
        <xdr:cNvPicPr>
          <a:picLocks noChangeAspect="1"/>
        </xdr:cNvPicPr>
      </xdr:nvPicPr>
      <xdr:blipFill>
        <a:blip xmlns:r="http://schemas.openxmlformats.org/officeDocument/2006/relationships" r:embed="rId26" cstate="print"/>
        <a:stretch>
          <a:fillRect/>
        </a:stretch>
      </xdr:blipFill>
      <xdr:spPr>
        <a:xfrm>
          <a:off x="1042481" y="5786180"/>
          <a:ext cx="396000" cy="394783"/>
        </a:xfrm>
        <a:prstGeom prst="rect">
          <a:avLst/>
        </a:prstGeom>
      </xdr:spPr>
    </xdr:pic>
    <xdr:clientData/>
  </xdr:twoCellAnchor>
  <xdr:twoCellAnchor editAs="oneCell">
    <xdr:from>
      <xdr:col>2</xdr:col>
      <xdr:colOff>340468</xdr:colOff>
      <xdr:row>17</xdr:row>
      <xdr:rowOff>23555</xdr:rowOff>
    </xdr:from>
    <xdr:to>
      <xdr:col>2</xdr:col>
      <xdr:colOff>736468</xdr:colOff>
      <xdr:row>18</xdr:row>
      <xdr:rowOff>18288</xdr:rowOff>
    </xdr:to>
    <xdr:pic>
      <xdr:nvPicPr>
        <xdr:cNvPr id="31" name="図 30" descr="スライド16.jpg"/>
        <xdr:cNvPicPr>
          <a:picLocks noChangeAspect="1"/>
        </xdr:cNvPicPr>
      </xdr:nvPicPr>
      <xdr:blipFill>
        <a:blip xmlns:r="http://schemas.openxmlformats.org/officeDocument/2006/relationships" r:embed="rId27" cstate="print"/>
        <a:stretch>
          <a:fillRect/>
        </a:stretch>
      </xdr:blipFill>
      <xdr:spPr>
        <a:xfrm>
          <a:off x="2159743" y="5786180"/>
          <a:ext cx="396000" cy="394783"/>
        </a:xfrm>
        <a:prstGeom prst="rect">
          <a:avLst/>
        </a:prstGeom>
      </xdr:spPr>
    </xdr:pic>
    <xdr:clientData/>
  </xdr:twoCellAnchor>
  <xdr:twoCellAnchor editAs="oneCell">
    <xdr:from>
      <xdr:col>3</xdr:col>
      <xdr:colOff>364787</xdr:colOff>
      <xdr:row>17</xdr:row>
      <xdr:rowOff>21261</xdr:rowOff>
    </xdr:from>
    <xdr:to>
      <xdr:col>3</xdr:col>
      <xdr:colOff>760787</xdr:colOff>
      <xdr:row>18</xdr:row>
      <xdr:rowOff>18288</xdr:rowOff>
    </xdr:to>
    <xdr:pic>
      <xdr:nvPicPr>
        <xdr:cNvPr id="32" name="図 31" descr="スライド17.jpg"/>
        <xdr:cNvPicPr>
          <a:picLocks noChangeAspect="1"/>
        </xdr:cNvPicPr>
      </xdr:nvPicPr>
      <xdr:blipFill>
        <a:blip xmlns:r="http://schemas.openxmlformats.org/officeDocument/2006/relationships" r:embed="rId28" cstate="print"/>
        <a:stretch>
          <a:fillRect/>
        </a:stretch>
      </xdr:blipFill>
      <xdr:spPr>
        <a:xfrm>
          <a:off x="3336587" y="5783886"/>
          <a:ext cx="396000" cy="397077"/>
        </a:xfrm>
        <a:prstGeom prst="rect">
          <a:avLst/>
        </a:prstGeom>
      </xdr:spPr>
    </xdr:pic>
    <xdr:clientData/>
  </xdr:twoCellAnchor>
  <xdr:twoCellAnchor editAs="oneCell">
    <xdr:from>
      <xdr:col>4</xdr:col>
      <xdr:colOff>376946</xdr:colOff>
      <xdr:row>17</xdr:row>
      <xdr:rowOff>23555</xdr:rowOff>
    </xdr:from>
    <xdr:to>
      <xdr:col>4</xdr:col>
      <xdr:colOff>772946</xdr:colOff>
      <xdr:row>18</xdr:row>
      <xdr:rowOff>18288</xdr:rowOff>
    </xdr:to>
    <xdr:pic>
      <xdr:nvPicPr>
        <xdr:cNvPr id="33" name="図 32" descr="スライド18.jpg"/>
        <xdr:cNvPicPr>
          <a:picLocks noChangeAspect="1"/>
        </xdr:cNvPicPr>
      </xdr:nvPicPr>
      <xdr:blipFill>
        <a:blip xmlns:r="http://schemas.openxmlformats.org/officeDocument/2006/relationships" r:embed="rId29" cstate="print"/>
        <a:stretch>
          <a:fillRect/>
        </a:stretch>
      </xdr:blipFill>
      <xdr:spPr>
        <a:xfrm>
          <a:off x="4501271" y="5786180"/>
          <a:ext cx="396000" cy="394783"/>
        </a:xfrm>
        <a:prstGeom prst="rect">
          <a:avLst/>
        </a:prstGeom>
      </xdr:spPr>
    </xdr:pic>
    <xdr:clientData/>
  </xdr:twoCellAnchor>
  <xdr:twoCellAnchor editAs="oneCell">
    <xdr:from>
      <xdr:col>5</xdr:col>
      <xdr:colOff>360734</xdr:colOff>
      <xdr:row>17</xdr:row>
      <xdr:rowOff>23555</xdr:rowOff>
    </xdr:from>
    <xdr:to>
      <xdr:col>5</xdr:col>
      <xdr:colOff>756734</xdr:colOff>
      <xdr:row>18</xdr:row>
      <xdr:rowOff>18288</xdr:rowOff>
    </xdr:to>
    <xdr:pic>
      <xdr:nvPicPr>
        <xdr:cNvPr id="34" name="図 33" descr="スライド19.jpg"/>
        <xdr:cNvPicPr>
          <a:picLocks noChangeAspect="1"/>
        </xdr:cNvPicPr>
      </xdr:nvPicPr>
      <xdr:blipFill>
        <a:blip xmlns:r="http://schemas.openxmlformats.org/officeDocument/2006/relationships" r:embed="rId30" cstate="print"/>
        <a:stretch>
          <a:fillRect/>
        </a:stretch>
      </xdr:blipFill>
      <xdr:spPr>
        <a:xfrm>
          <a:off x="5637584" y="5786180"/>
          <a:ext cx="396000" cy="394783"/>
        </a:xfrm>
        <a:prstGeom prst="rect">
          <a:avLst/>
        </a:prstGeom>
      </xdr:spPr>
    </xdr:pic>
    <xdr:clientData/>
  </xdr:twoCellAnchor>
  <xdr:twoCellAnchor editAs="oneCell">
    <xdr:from>
      <xdr:col>6</xdr:col>
      <xdr:colOff>344521</xdr:colOff>
      <xdr:row>17</xdr:row>
      <xdr:rowOff>21261</xdr:rowOff>
    </xdr:from>
    <xdr:to>
      <xdr:col>6</xdr:col>
      <xdr:colOff>740521</xdr:colOff>
      <xdr:row>18</xdr:row>
      <xdr:rowOff>18288</xdr:rowOff>
    </xdr:to>
    <xdr:pic>
      <xdr:nvPicPr>
        <xdr:cNvPr id="35" name="図 34" descr="スライド20.jpg"/>
        <xdr:cNvPicPr>
          <a:picLocks noChangeAspect="1"/>
        </xdr:cNvPicPr>
      </xdr:nvPicPr>
      <xdr:blipFill>
        <a:blip xmlns:r="http://schemas.openxmlformats.org/officeDocument/2006/relationships" r:embed="rId31" cstate="print"/>
        <a:stretch>
          <a:fillRect/>
        </a:stretch>
      </xdr:blipFill>
      <xdr:spPr>
        <a:xfrm>
          <a:off x="6773896" y="5783886"/>
          <a:ext cx="396000" cy="397077"/>
        </a:xfrm>
        <a:prstGeom prst="rect">
          <a:avLst/>
        </a:prstGeom>
      </xdr:spPr>
    </xdr:pic>
    <xdr:clientData/>
  </xdr:twoCellAnchor>
  <xdr:twoCellAnchor editAs="oneCell">
    <xdr:from>
      <xdr:col>7</xdr:col>
      <xdr:colOff>350732</xdr:colOff>
      <xdr:row>17</xdr:row>
      <xdr:rowOff>23341</xdr:rowOff>
    </xdr:from>
    <xdr:to>
      <xdr:col>7</xdr:col>
      <xdr:colOff>746732</xdr:colOff>
      <xdr:row>18</xdr:row>
      <xdr:rowOff>18288</xdr:rowOff>
    </xdr:to>
    <xdr:pic>
      <xdr:nvPicPr>
        <xdr:cNvPr id="36" name="図 35" descr="スライド21.jpg"/>
        <xdr:cNvPicPr>
          <a:picLocks noChangeAspect="1"/>
        </xdr:cNvPicPr>
      </xdr:nvPicPr>
      <xdr:blipFill>
        <a:blip xmlns:r="http://schemas.openxmlformats.org/officeDocument/2006/relationships" r:embed="rId32" cstate="print"/>
        <a:stretch>
          <a:fillRect/>
        </a:stretch>
      </xdr:blipFill>
      <xdr:spPr>
        <a:xfrm>
          <a:off x="7932632" y="5785966"/>
          <a:ext cx="396000" cy="394997"/>
        </a:xfrm>
        <a:prstGeom prst="rect">
          <a:avLst/>
        </a:prstGeom>
      </xdr:spPr>
    </xdr:pic>
    <xdr:clientData/>
  </xdr:twoCellAnchor>
  <xdr:twoCellAnchor editAs="oneCell">
    <xdr:from>
      <xdr:col>1</xdr:col>
      <xdr:colOff>237991</xdr:colOff>
      <xdr:row>22</xdr:row>
      <xdr:rowOff>106940</xdr:rowOff>
    </xdr:from>
    <xdr:to>
      <xdr:col>1</xdr:col>
      <xdr:colOff>888367</xdr:colOff>
      <xdr:row>22</xdr:row>
      <xdr:rowOff>265864</xdr:rowOff>
    </xdr:to>
    <xdr:pic>
      <xdr:nvPicPr>
        <xdr:cNvPr id="39" name="図 38" descr="スライド1.jpg"/>
        <xdr:cNvPicPr>
          <a:picLocks noChangeAspect="1"/>
        </xdr:cNvPicPr>
      </xdr:nvPicPr>
      <xdr:blipFill>
        <a:blip xmlns:r="http://schemas.openxmlformats.org/officeDocument/2006/relationships" r:embed="rId33" cstate="print"/>
        <a:stretch>
          <a:fillRect/>
        </a:stretch>
      </xdr:blipFill>
      <xdr:spPr>
        <a:xfrm>
          <a:off x="923791" y="7698365"/>
          <a:ext cx="650376" cy="158924"/>
        </a:xfrm>
        <a:prstGeom prst="rect">
          <a:avLst/>
        </a:prstGeom>
      </xdr:spPr>
    </xdr:pic>
    <xdr:clientData/>
  </xdr:twoCellAnchor>
  <xdr:twoCellAnchor editAs="oneCell">
    <xdr:from>
      <xdr:col>2</xdr:col>
      <xdr:colOff>262278</xdr:colOff>
      <xdr:row>22</xdr:row>
      <xdr:rowOff>106940</xdr:rowOff>
    </xdr:from>
    <xdr:to>
      <xdr:col>2</xdr:col>
      <xdr:colOff>910050</xdr:colOff>
      <xdr:row>22</xdr:row>
      <xdr:rowOff>265628</xdr:rowOff>
    </xdr:to>
    <xdr:pic>
      <xdr:nvPicPr>
        <xdr:cNvPr id="40" name="図 39" descr="スライド2.jpg"/>
        <xdr:cNvPicPr>
          <a:picLocks noChangeAspect="1"/>
        </xdr:cNvPicPr>
      </xdr:nvPicPr>
      <xdr:blipFill>
        <a:blip xmlns:r="http://schemas.openxmlformats.org/officeDocument/2006/relationships" r:embed="rId34" cstate="print"/>
        <a:stretch>
          <a:fillRect/>
        </a:stretch>
      </xdr:blipFill>
      <xdr:spPr>
        <a:xfrm>
          <a:off x="2081553" y="7698365"/>
          <a:ext cx="647772" cy="158688"/>
        </a:xfrm>
        <a:prstGeom prst="rect">
          <a:avLst/>
        </a:prstGeom>
      </xdr:spPr>
    </xdr:pic>
    <xdr:clientData/>
  </xdr:twoCellAnchor>
  <xdr:twoCellAnchor editAs="oneCell">
    <xdr:from>
      <xdr:col>3</xdr:col>
      <xdr:colOff>267722</xdr:colOff>
      <xdr:row>22</xdr:row>
      <xdr:rowOff>106940</xdr:rowOff>
    </xdr:from>
    <xdr:to>
      <xdr:col>3</xdr:col>
      <xdr:colOff>915494</xdr:colOff>
      <xdr:row>22</xdr:row>
      <xdr:rowOff>265628</xdr:rowOff>
    </xdr:to>
    <xdr:pic>
      <xdr:nvPicPr>
        <xdr:cNvPr id="41" name="図 40" descr="スライド3.jpg"/>
        <xdr:cNvPicPr>
          <a:picLocks noChangeAspect="1"/>
        </xdr:cNvPicPr>
      </xdr:nvPicPr>
      <xdr:blipFill>
        <a:blip xmlns:r="http://schemas.openxmlformats.org/officeDocument/2006/relationships" r:embed="rId35" cstate="print"/>
        <a:stretch>
          <a:fillRect/>
        </a:stretch>
      </xdr:blipFill>
      <xdr:spPr>
        <a:xfrm>
          <a:off x="3239522" y="7698365"/>
          <a:ext cx="647772" cy="158688"/>
        </a:xfrm>
        <a:prstGeom prst="rect">
          <a:avLst/>
        </a:prstGeom>
      </xdr:spPr>
    </xdr:pic>
    <xdr:clientData/>
  </xdr:twoCellAnchor>
  <xdr:twoCellAnchor editAs="oneCell">
    <xdr:from>
      <xdr:col>4</xdr:col>
      <xdr:colOff>262278</xdr:colOff>
      <xdr:row>22</xdr:row>
      <xdr:rowOff>106940</xdr:rowOff>
    </xdr:from>
    <xdr:to>
      <xdr:col>4</xdr:col>
      <xdr:colOff>910050</xdr:colOff>
      <xdr:row>22</xdr:row>
      <xdr:rowOff>265628</xdr:rowOff>
    </xdr:to>
    <xdr:pic>
      <xdr:nvPicPr>
        <xdr:cNvPr id="42" name="図 41" descr="スライド4.jpg"/>
        <xdr:cNvPicPr>
          <a:picLocks noChangeAspect="1"/>
        </xdr:cNvPicPr>
      </xdr:nvPicPr>
      <xdr:blipFill>
        <a:blip xmlns:r="http://schemas.openxmlformats.org/officeDocument/2006/relationships" r:embed="rId36" cstate="print"/>
        <a:stretch>
          <a:fillRect/>
        </a:stretch>
      </xdr:blipFill>
      <xdr:spPr>
        <a:xfrm>
          <a:off x="4386603" y="7698365"/>
          <a:ext cx="647772" cy="158688"/>
        </a:xfrm>
        <a:prstGeom prst="rect">
          <a:avLst/>
        </a:prstGeom>
      </xdr:spPr>
    </xdr:pic>
    <xdr:clientData/>
  </xdr:twoCellAnchor>
  <xdr:twoCellAnchor editAs="oneCell">
    <xdr:from>
      <xdr:col>5</xdr:col>
      <xdr:colOff>262278</xdr:colOff>
      <xdr:row>22</xdr:row>
      <xdr:rowOff>106940</xdr:rowOff>
    </xdr:from>
    <xdr:to>
      <xdr:col>5</xdr:col>
      <xdr:colOff>910050</xdr:colOff>
      <xdr:row>22</xdr:row>
      <xdr:rowOff>265628</xdr:rowOff>
    </xdr:to>
    <xdr:pic>
      <xdr:nvPicPr>
        <xdr:cNvPr id="43" name="図 42" descr="スライド5.jpg"/>
        <xdr:cNvPicPr>
          <a:picLocks noChangeAspect="1"/>
        </xdr:cNvPicPr>
      </xdr:nvPicPr>
      <xdr:blipFill>
        <a:blip xmlns:r="http://schemas.openxmlformats.org/officeDocument/2006/relationships" r:embed="rId37" cstate="print"/>
        <a:stretch>
          <a:fillRect/>
        </a:stretch>
      </xdr:blipFill>
      <xdr:spPr>
        <a:xfrm>
          <a:off x="5539128" y="7698365"/>
          <a:ext cx="647772" cy="158688"/>
        </a:xfrm>
        <a:prstGeom prst="rect">
          <a:avLst/>
        </a:prstGeom>
      </xdr:spPr>
    </xdr:pic>
    <xdr:clientData/>
  </xdr:twoCellAnchor>
  <xdr:twoCellAnchor editAs="oneCell">
    <xdr:from>
      <xdr:col>0</xdr:col>
      <xdr:colOff>683329</xdr:colOff>
      <xdr:row>2</xdr:row>
      <xdr:rowOff>170436</xdr:rowOff>
    </xdr:from>
    <xdr:to>
      <xdr:col>1</xdr:col>
      <xdr:colOff>392527</xdr:colOff>
      <xdr:row>4</xdr:row>
      <xdr:rowOff>1382</xdr:rowOff>
    </xdr:to>
    <xdr:pic>
      <xdr:nvPicPr>
        <xdr:cNvPr id="44" name="図 43" descr="スライド22.jpg"/>
        <xdr:cNvPicPr>
          <a:picLocks noChangeAspect="1"/>
        </xdr:cNvPicPr>
      </xdr:nvPicPr>
      <xdr:blipFill>
        <a:blip xmlns:r="http://schemas.openxmlformats.org/officeDocument/2006/relationships" r:embed="rId38" cstate="print"/>
        <a:stretch>
          <a:fillRect/>
        </a:stretch>
      </xdr:blipFill>
      <xdr:spPr>
        <a:xfrm>
          <a:off x="683329" y="522861"/>
          <a:ext cx="394998" cy="397003"/>
        </a:xfrm>
        <a:prstGeom prst="rect">
          <a:avLst/>
        </a:prstGeom>
      </xdr:spPr>
    </xdr:pic>
    <xdr:clientData/>
  </xdr:twoCellAnchor>
  <xdr:twoCellAnchor editAs="oneCell">
    <xdr:from>
      <xdr:col>1</xdr:col>
      <xdr:colOff>1123323</xdr:colOff>
      <xdr:row>2</xdr:row>
      <xdr:rowOff>170436</xdr:rowOff>
    </xdr:from>
    <xdr:to>
      <xdr:col>2</xdr:col>
      <xdr:colOff>386349</xdr:colOff>
      <xdr:row>4</xdr:row>
      <xdr:rowOff>1382</xdr:rowOff>
    </xdr:to>
    <xdr:pic>
      <xdr:nvPicPr>
        <xdr:cNvPr id="45" name="図 44" descr="スライド23.jpg"/>
        <xdr:cNvPicPr>
          <a:picLocks noChangeAspect="1"/>
        </xdr:cNvPicPr>
      </xdr:nvPicPr>
      <xdr:blipFill>
        <a:blip xmlns:r="http://schemas.openxmlformats.org/officeDocument/2006/relationships" r:embed="rId39" cstate="print"/>
        <a:stretch>
          <a:fillRect/>
        </a:stretch>
      </xdr:blipFill>
      <xdr:spPr>
        <a:xfrm>
          <a:off x="1809123" y="522861"/>
          <a:ext cx="396501" cy="397003"/>
        </a:xfrm>
        <a:prstGeom prst="rect">
          <a:avLst/>
        </a:prstGeom>
      </xdr:spPr>
    </xdr:pic>
    <xdr:clientData/>
  </xdr:twoCellAnchor>
  <xdr:twoCellAnchor editAs="oneCell">
    <xdr:from>
      <xdr:col>7</xdr:col>
      <xdr:colOff>91239</xdr:colOff>
      <xdr:row>8</xdr:row>
      <xdr:rowOff>7601</xdr:rowOff>
    </xdr:from>
    <xdr:to>
      <xdr:col>7</xdr:col>
      <xdr:colOff>1101781</xdr:colOff>
      <xdr:row>8</xdr:row>
      <xdr:rowOff>349601</xdr:rowOff>
    </xdr:to>
    <xdr:pic>
      <xdr:nvPicPr>
        <xdr:cNvPr id="46" name="図 45" descr="スライド4.jpg"/>
        <xdr:cNvPicPr>
          <a:picLocks noChangeAspect="1"/>
        </xdr:cNvPicPr>
      </xdr:nvPicPr>
      <xdr:blipFill>
        <a:blip xmlns:r="http://schemas.openxmlformats.org/officeDocument/2006/relationships" r:embed="rId40" cstate="print"/>
        <a:stretch>
          <a:fillRect/>
        </a:stretch>
      </xdr:blipFill>
      <xdr:spPr>
        <a:xfrm>
          <a:off x="7673139" y="2474576"/>
          <a:ext cx="1010542" cy="342000"/>
        </a:xfrm>
        <a:prstGeom prst="rect">
          <a:avLst/>
        </a:prstGeom>
      </xdr:spPr>
    </xdr:pic>
    <xdr:clientData/>
  </xdr:twoCellAnchor>
  <xdr:twoCellAnchor editAs="oneCell">
    <xdr:from>
      <xdr:col>1</xdr:col>
      <xdr:colOff>8022</xdr:colOff>
      <xdr:row>12</xdr:row>
      <xdr:rowOff>5435</xdr:rowOff>
    </xdr:from>
    <xdr:to>
      <xdr:col>1</xdr:col>
      <xdr:colOff>405118</xdr:colOff>
      <xdr:row>12</xdr:row>
      <xdr:rowOff>396377</xdr:rowOff>
    </xdr:to>
    <xdr:pic>
      <xdr:nvPicPr>
        <xdr:cNvPr id="47" name="図 46" descr="電力.jpg"/>
        <xdr:cNvPicPr>
          <a:picLocks noChangeAspect="1"/>
        </xdr:cNvPicPr>
      </xdr:nvPicPr>
      <xdr:blipFill>
        <a:blip xmlns:r="http://schemas.openxmlformats.org/officeDocument/2006/relationships" r:embed="rId41" cstate="print"/>
        <a:stretch>
          <a:fillRect/>
        </a:stretch>
      </xdr:blipFill>
      <xdr:spPr>
        <a:xfrm>
          <a:off x="692631" y="4398841"/>
          <a:ext cx="397096" cy="390942"/>
        </a:xfrm>
        <a:prstGeom prst="rect">
          <a:avLst/>
        </a:prstGeom>
      </xdr:spPr>
    </xdr:pic>
    <xdr:clientData/>
  </xdr:twoCellAnchor>
  <xdr:twoCellAnchor editAs="oneCell">
    <xdr:from>
      <xdr:col>11</xdr:col>
      <xdr:colOff>354407</xdr:colOff>
      <xdr:row>14</xdr:row>
      <xdr:rowOff>2455</xdr:rowOff>
    </xdr:from>
    <xdr:to>
      <xdr:col>11</xdr:col>
      <xdr:colOff>750407</xdr:colOff>
      <xdr:row>15</xdr:row>
      <xdr:rowOff>71</xdr:rowOff>
    </xdr:to>
    <xdr:pic>
      <xdr:nvPicPr>
        <xdr:cNvPr id="48" name="図 47" descr="スライド30.jpg"/>
        <xdr:cNvPicPr>
          <a:picLocks noChangeAspect="1"/>
        </xdr:cNvPicPr>
      </xdr:nvPicPr>
      <xdr:blipFill>
        <a:blip xmlns:r="http://schemas.openxmlformats.org/officeDocument/2006/relationships" r:embed="rId42" cstate="print"/>
        <a:stretch>
          <a:fillRect/>
        </a:stretch>
      </xdr:blipFill>
      <xdr:spPr>
        <a:xfrm>
          <a:off x="12546407" y="4997430"/>
          <a:ext cx="396000" cy="397988"/>
        </a:xfrm>
        <a:prstGeom prst="rect">
          <a:avLst/>
        </a:prstGeom>
      </xdr:spPr>
    </xdr:pic>
    <xdr:clientData/>
  </xdr:twoCellAnchor>
  <xdr:twoCellAnchor editAs="oneCell">
    <xdr:from>
      <xdr:col>12</xdr:col>
      <xdr:colOff>354408</xdr:colOff>
      <xdr:row>14</xdr:row>
      <xdr:rowOff>3189</xdr:rowOff>
    </xdr:from>
    <xdr:to>
      <xdr:col>12</xdr:col>
      <xdr:colOff>750408</xdr:colOff>
      <xdr:row>15</xdr:row>
      <xdr:rowOff>124</xdr:rowOff>
    </xdr:to>
    <xdr:pic>
      <xdr:nvPicPr>
        <xdr:cNvPr id="56" name="図 55" descr="スライド30.jpg"/>
        <xdr:cNvPicPr>
          <a:picLocks noChangeAspect="1"/>
        </xdr:cNvPicPr>
      </xdr:nvPicPr>
      <xdr:blipFill>
        <a:blip xmlns:r="http://schemas.openxmlformats.org/officeDocument/2006/relationships" r:embed="rId42" cstate="print"/>
        <a:stretch>
          <a:fillRect/>
        </a:stretch>
      </xdr:blipFill>
      <xdr:spPr>
        <a:xfrm>
          <a:off x="13699094" y="4998164"/>
          <a:ext cx="396000" cy="397307"/>
        </a:xfrm>
        <a:prstGeom prst="rect">
          <a:avLst/>
        </a:prstGeom>
      </xdr:spPr>
    </xdr:pic>
    <xdr:clientData/>
  </xdr:twoCellAnchor>
  <xdr:twoCellAnchor editAs="oneCell">
    <xdr:from>
      <xdr:col>13</xdr:col>
      <xdr:colOff>355574</xdr:colOff>
      <xdr:row>14</xdr:row>
      <xdr:rowOff>4285</xdr:rowOff>
    </xdr:from>
    <xdr:to>
      <xdr:col>13</xdr:col>
      <xdr:colOff>751574</xdr:colOff>
      <xdr:row>14</xdr:row>
      <xdr:rowOff>399392</xdr:rowOff>
    </xdr:to>
    <xdr:pic>
      <xdr:nvPicPr>
        <xdr:cNvPr id="58" name="図 57" descr="スライド6.jpg"/>
        <xdr:cNvPicPr>
          <a:picLocks noChangeAspect="1"/>
        </xdr:cNvPicPr>
      </xdr:nvPicPr>
      <xdr:blipFill>
        <a:blip xmlns:r="http://schemas.openxmlformats.org/officeDocument/2006/relationships" r:embed="rId21" cstate="print"/>
        <a:stretch>
          <a:fillRect/>
        </a:stretch>
      </xdr:blipFill>
      <xdr:spPr>
        <a:xfrm>
          <a:off x="14852947" y="4999260"/>
          <a:ext cx="396000" cy="395107"/>
        </a:xfrm>
        <a:prstGeom prst="rect">
          <a:avLst/>
        </a:prstGeom>
      </xdr:spPr>
    </xdr:pic>
    <xdr:clientData/>
  </xdr:twoCellAnchor>
  <xdr:twoCellAnchor editAs="oneCell">
    <xdr:from>
      <xdr:col>10</xdr:col>
      <xdr:colOff>354829</xdr:colOff>
      <xdr:row>14</xdr:row>
      <xdr:rowOff>5015</xdr:rowOff>
    </xdr:from>
    <xdr:to>
      <xdr:col>10</xdr:col>
      <xdr:colOff>750829</xdr:colOff>
      <xdr:row>15</xdr:row>
      <xdr:rowOff>643</xdr:rowOff>
    </xdr:to>
    <xdr:pic>
      <xdr:nvPicPr>
        <xdr:cNvPr id="59" name="図 58" descr="スライド29.jpg"/>
        <xdr:cNvPicPr>
          <a:picLocks noChangeAspect="1"/>
        </xdr:cNvPicPr>
      </xdr:nvPicPr>
      <xdr:blipFill>
        <a:blip xmlns:r="http://schemas.openxmlformats.org/officeDocument/2006/relationships" r:embed="rId43" cstate="print"/>
        <a:stretch>
          <a:fillRect/>
        </a:stretch>
      </xdr:blipFill>
      <xdr:spPr>
        <a:xfrm>
          <a:off x="11394143" y="4999990"/>
          <a:ext cx="396000" cy="396000"/>
        </a:xfrm>
        <a:prstGeom prst="rect">
          <a:avLst/>
        </a:prstGeom>
      </xdr:spPr>
    </xdr:pic>
    <xdr:clientData/>
  </xdr:twoCellAnchor>
  <xdr:twoCellAnchor editAs="oneCell">
    <xdr:from>
      <xdr:col>9</xdr:col>
      <xdr:colOff>356613</xdr:colOff>
      <xdr:row>14</xdr:row>
      <xdr:rowOff>5015</xdr:rowOff>
    </xdr:from>
    <xdr:to>
      <xdr:col>9</xdr:col>
      <xdr:colOff>752613</xdr:colOff>
      <xdr:row>15</xdr:row>
      <xdr:rowOff>643</xdr:rowOff>
    </xdr:to>
    <xdr:pic>
      <xdr:nvPicPr>
        <xdr:cNvPr id="62" name="図 61" descr="スライド29.jpg"/>
        <xdr:cNvPicPr>
          <a:picLocks noChangeAspect="1"/>
        </xdr:cNvPicPr>
      </xdr:nvPicPr>
      <xdr:blipFill>
        <a:blip xmlns:r="http://schemas.openxmlformats.org/officeDocument/2006/relationships" r:embed="rId43" cstate="print"/>
        <a:stretch>
          <a:fillRect/>
        </a:stretch>
      </xdr:blipFill>
      <xdr:spPr>
        <a:xfrm>
          <a:off x="10243240" y="4999990"/>
          <a:ext cx="396000" cy="396000"/>
        </a:xfrm>
        <a:prstGeom prst="rect">
          <a:avLst/>
        </a:prstGeom>
      </xdr:spPr>
    </xdr:pic>
    <xdr:clientData/>
  </xdr:twoCellAnchor>
  <xdr:twoCellAnchor editAs="oneCell">
    <xdr:from>
      <xdr:col>8</xdr:col>
      <xdr:colOff>355169</xdr:colOff>
      <xdr:row>14</xdr:row>
      <xdr:rowOff>5381</xdr:rowOff>
    </xdr:from>
    <xdr:to>
      <xdr:col>8</xdr:col>
      <xdr:colOff>751169</xdr:colOff>
      <xdr:row>15</xdr:row>
      <xdr:rowOff>328</xdr:rowOff>
    </xdr:to>
    <xdr:pic>
      <xdr:nvPicPr>
        <xdr:cNvPr id="65" name="図 64" descr="スライド28.jpg"/>
        <xdr:cNvPicPr>
          <a:picLocks noChangeAspect="1"/>
        </xdr:cNvPicPr>
      </xdr:nvPicPr>
      <xdr:blipFill>
        <a:blip xmlns:r="http://schemas.openxmlformats.org/officeDocument/2006/relationships" r:embed="rId44" cstate="print"/>
        <a:stretch>
          <a:fillRect/>
        </a:stretch>
      </xdr:blipFill>
      <xdr:spPr>
        <a:xfrm>
          <a:off x="9089110" y="5000356"/>
          <a:ext cx="396000" cy="395319"/>
        </a:xfrm>
        <a:prstGeom prst="rect">
          <a:avLst/>
        </a:prstGeom>
      </xdr:spPr>
    </xdr:pic>
    <xdr:clientData/>
  </xdr:twoCellAnchor>
  <xdr:twoCellAnchor editAs="oneCell">
    <xdr:from>
      <xdr:col>7</xdr:col>
      <xdr:colOff>356613</xdr:colOff>
      <xdr:row>14</xdr:row>
      <xdr:rowOff>5064</xdr:rowOff>
    </xdr:from>
    <xdr:to>
      <xdr:col>7</xdr:col>
      <xdr:colOff>752613</xdr:colOff>
      <xdr:row>15</xdr:row>
      <xdr:rowOff>1278</xdr:rowOff>
    </xdr:to>
    <xdr:pic>
      <xdr:nvPicPr>
        <xdr:cNvPr id="66" name="図 65" descr="スライド27.jpg"/>
        <xdr:cNvPicPr>
          <a:picLocks noChangeAspect="1"/>
        </xdr:cNvPicPr>
      </xdr:nvPicPr>
      <xdr:blipFill>
        <a:blip xmlns:r="http://schemas.openxmlformats.org/officeDocument/2006/relationships" r:embed="rId45" cstate="print"/>
        <a:stretch>
          <a:fillRect/>
        </a:stretch>
      </xdr:blipFill>
      <xdr:spPr>
        <a:xfrm>
          <a:off x="7933318" y="4997030"/>
          <a:ext cx="396000" cy="394532"/>
        </a:xfrm>
        <a:prstGeom prst="rect">
          <a:avLst/>
        </a:prstGeom>
      </xdr:spPr>
    </xdr:pic>
    <xdr:clientData/>
  </xdr:twoCellAnchor>
  <xdr:twoCellAnchor editAs="oneCell">
    <xdr:from>
      <xdr:col>1</xdr:col>
      <xdr:colOff>171721</xdr:colOff>
      <xdr:row>20</xdr:row>
      <xdr:rowOff>104133</xdr:rowOff>
    </xdr:from>
    <xdr:to>
      <xdr:col>1</xdr:col>
      <xdr:colOff>988221</xdr:colOff>
      <xdr:row>20</xdr:row>
      <xdr:rowOff>810104</xdr:rowOff>
    </xdr:to>
    <xdr:pic>
      <xdr:nvPicPr>
        <xdr:cNvPr id="67" name="図 66" descr="別記1　BELSロゴマーク（非住宅） .png"/>
        <xdr:cNvPicPr>
          <a:picLocks noChangeAspect="1"/>
        </xdr:cNvPicPr>
      </xdr:nvPicPr>
      <xdr:blipFill>
        <a:blip xmlns:r="http://schemas.openxmlformats.org/officeDocument/2006/relationships" r:embed="rId46" cstate="print"/>
        <a:stretch>
          <a:fillRect/>
        </a:stretch>
      </xdr:blipFill>
      <xdr:spPr>
        <a:xfrm>
          <a:off x="856330" y="6616852"/>
          <a:ext cx="816500" cy="705971"/>
        </a:xfrm>
        <a:prstGeom prst="rect">
          <a:avLst/>
        </a:prstGeom>
      </xdr:spPr>
    </xdr:pic>
    <xdr:clientData/>
  </xdr:twoCellAnchor>
  <xdr:twoCellAnchor editAs="oneCell">
    <xdr:from>
      <xdr:col>11</xdr:col>
      <xdr:colOff>85397</xdr:colOff>
      <xdr:row>8</xdr:row>
      <xdr:rowOff>6569</xdr:rowOff>
    </xdr:from>
    <xdr:to>
      <xdr:col>11</xdr:col>
      <xdr:colOff>1095437</xdr:colOff>
      <xdr:row>8</xdr:row>
      <xdr:rowOff>348569</xdr:rowOff>
    </xdr:to>
    <xdr:pic>
      <xdr:nvPicPr>
        <xdr:cNvPr id="4" name="図 3"/>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2251121" y="2476500"/>
          <a:ext cx="1010040" cy="342000"/>
        </a:xfrm>
        <a:prstGeom prst="rect">
          <a:avLst/>
        </a:prstGeom>
      </xdr:spPr>
    </xdr:pic>
    <xdr:clientData/>
  </xdr:twoCellAnchor>
  <xdr:twoCellAnchor editAs="oneCell">
    <xdr:from>
      <xdr:col>4</xdr:col>
      <xdr:colOff>426983</xdr:colOff>
      <xdr:row>5</xdr:row>
      <xdr:rowOff>118242</xdr:rowOff>
    </xdr:from>
    <xdr:to>
      <xdr:col>4</xdr:col>
      <xdr:colOff>727935</xdr:colOff>
      <xdr:row>5</xdr:row>
      <xdr:rowOff>971442</xdr:rowOff>
    </xdr:to>
    <xdr:pic>
      <xdr:nvPicPr>
        <xdr:cNvPr id="5" name="図 4"/>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4545724" y="1215259"/>
          <a:ext cx="300952" cy="853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119413</xdr:colOff>
      <xdr:row>63</xdr:row>
      <xdr:rowOff>71162</xdr:rowOff>
    </xdr:from>
    <xdr:to>
      <xdr:col>6</xdr:col>
      <xdr:colOff>431260</xdr:colOff>
      <xdr:row>66</xdr:row>
      <xdr:rowOff>47309</xdr:rowOff>
    </xdr:to>
    <xdr:sp macro="" textlink="">
      <xdr:nvSpPr>
        <xdr:cNvPr id="2" name="下矢印 1"/>
        <xdr:cNvSpPr/>
      </xdr:nvSpPr>
      <xdr:spPr>
        <a:xfrm rot="16200000">
          <a:off x="1997001" y="11080899"/>
          <a:ext cx="519072" cy="311847"/>
        </a:xfrm>
        <a:prstGeom prst="downArrow">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10</xdr:col>
      <xdr:colOff>371475</xdr:colOff>
      <xdr:row>60</xdr:row>
      <xdr:rowOff>9525</xdr:rowOff>
    </xdr:from>
    <xdr:to>
      <xdr:col>15</xdr:col>
      <xdr:colOff>304800</xdr:colOff>
      <xdr:row>69</xdr:row>
      <xdr:rowOff>9525</xdr:rowOff>
    </xdr:to>
    <xdr:graphicFrame macro="">
      <xdr:nvGraphicFramePr>
        <xdr:cNvPr id="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76200</xdr:colOff>
      <xdr:row>60</xdr:row>
      <xdr:rowOff>9525</xdr:rowOff>
    </xdr:from>
    <xdr:to>
      <xdr:col>20</xdr:col>
      <xdr:colOff>533400</xdr:colOff>
      <xdr:row>69</xdr:row>
      <xdr:rowOff>19050</xdr:rowOff>
    </xdr:to>
    <xdr:graphicFrame macro="">
      <xdr:nvGraphicFramePr>
        <xdr:cNvPr id="4"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7117;&#29872;&#22659;&#30906;&#20445;&#26465;&#20363;/&#20013;&#23567;&#30465;&#12456;&#12493;&#25913;&#20462;&#35211;&#12360;&#12427;&#21270;/2016&#24180;&#24230;4&#26376;&#12288;&#22996;&#35351;&#26989;&#21209;/&#26908;&#35342;/2016_08_29%20&#35443;&#32048;&#29256;&#12288;&#29289;&#20214;&#25237;&#20837;/&#29289;&#20214;&#12487;&#12540;&#12479;/06_&#12431;&#12363;&#12373;&#12499;&#12523;/272016_&#12431;&#12363;&#12373;&#12499;&#12523;/&#35443;&#32048;&#29256;&#12288;&#12513;&#12452;&#12531;&#20837;&#21147;&#12471;&#12540;&#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7117;&#29872;&#22659;&#30906;&#20445;&#26465;&#20363;/&#20013;&#23567;&#30465;&#12456;&#12493;&#25913;&#20462;&#35211;&#12360;&#12427;&#21270;/2016&#24180;&#24230;4&#26376;&#12288;&#22996;&#35351;&#26989;&#21209;/&#26908;&#35342;/2016_08_29%20&#35443;&#32048;&#29256;&#12288;&#29289;&#20214;&#25237;&#20837;/&#29289;&#20214;&#12487;&#12540;&#12479;/06_&#12431;&#12363;&#12373;&#12499;&#12523;/272016_&#12431;&#12363;&#12373;&#12499;&#12523;/2016_07_20%20&#25512;&#35336;&#21066;&#28187;&#37327;&#35336;&#31639;&#26360;&#12288;&#20462;&#27491;&#65288;&#24180;&#24230;&#36861;&#21152;&#65289;&#20844;&#31038;&#12467;&#12513;&#12531;&#12488;&#36861;&#21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入力"/>
      <sheetName val="オプション入力"/>
      <sheetName val="結果"/>
      <sheetName val="リンク元画像"/>
      <sheetName val="ベンチマーク評価"/>
    </sheetNames>
    <sheetDataSet>
      <sheetData sheetId="0">
        <row r="9">
          <cell r="AD9" t="str">
            <v>建物全体</v>
          </cell>
        </row>
      </sheetData>
      <sheetData sheetId="1"/>
      <sheetData sheetId="2" refreshError="1"/>
      <sheetData sheetId="3"/>
      <sheetData sheetId="4">
        <row r="4">
          <cell r="B4" t="e">
            <v>#N/A</v>
          </cell>
          <cell r="C4" t="e">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算定書"/>
      <sheetName val="2_エネルギー使用量 (電気)"/>
      <sheetName val="3_エネルギー使用量 (都市ガス) "/>
      <sheetName val="4_エネルギー使用量 (その他)"/>
      <sheetName val="5_未計測テナント除外"/>
      <sheetName val="6_テナント入居率"/>
      <sheetName val="7_熱源機器（新設）"/>
      <sheetName val="8_冷却塔（新設）"/>
      <sheetName val="9_空調用ポンプ（新設）"/>
      <sheetName val="10_パッケージ (新設)"/>
      <sheetName val="11_空調機（新設）"/>
      <sheetName val="12_空調制御（新設）"/>
      <sheetName val="13_全熱交換器 (新設)"/>
      <sheetName val="14_照明 (新設)"/>
      <sheetName val="15_誘導灯（更新）"/>
      <sheetName val="16_変圧器（新設）"/>
      <sheetName val="17_エレベーター制御（新設）"/>
      <sheetName val="18_熱源機器（撤去） "/>
      <sheetName val="19_冷却塔（撤去）"/>
      <sheetName val="20_空調用ポンプ (撤去)"/>
      <sheetName val="21_パッケージ (撤去) "/>
      <sheetName val="22_空調機（撤去）"/>
      <sheetName val="23_全熱交換器 (撤去) "/>
      <sheetName val="24_照明 (撤去) "/>
      <sheetName val="25_変圧器（撤去） "/>
    </sheetNames>
    <sheetDataSet>
      <sheetData sheetId="0"/>
      <sheetData sheetId="1">
        <row r="12">
          <cell r="Z12">
            <v>0</v>
          </cell>
          <cell r="AA12">
            <v>0</v>
          </cell>
        </row>
        <row r="13">
          <cell r="Z13">
            <v>0</v>
          </cell>
          <cell r="AA13">
            <v>0</v>
          </cell>
        </row>
        <row r="14">
          <cell r="Z14">
            <v>0</v>
          </cell>
          <cell r="AA14">
            <v>0</v>
          </cell>
        </row>
        <row r="15">
          <cell r="Z15">
            <v>0</v>
          </cell>
          <cell r="AA15">
            <v>0</v>
          </cell>
        </row>
        <row r="16">
          <cell r="Z16">
            <v>0</v>
          </cell>
          <cell r="AA16">
            <v>0</v>
          </cell>
        </row>
        <row r="17">
          <cell r="Z17">
            <v>0</v>
          </cell>
          <cell r="AA17">
            <v>0</v>
          </cell>
        </row>
        <row r="18">
          <cell r="Z18">
            <v>0</v>
          </cell>
          <cell r="AA18">
            <v>0</v>
          </cell>
        </row>
        <row r="19">
          <cell r="Z19">
            <v>0</v>
          </cell>
          <cell r="AA19">
            <v>0</v>
          </cell>
        </row>
      </sheetData>
      <sheetData sheetId="2">
        <row r="14">
          <cell r="Y14">
            <v>0</v>
          </cell>
          <cell r="Z14">
            <v>0</v>
          </cell>
        </row>
        <row r="15">
          <cell r="Y15">
            <v>0</v>
          </cell>
          <cell r="Z15">
            <v>0</v>
          </cell>
        </row>
        <row r="16">
          <cell r="Y16">
            <v>0</v>
          </cell>
          <cell r="Z16">
            <v>0</v>
          </cell>
        </row>
        <row r="17">
          <cell r="Y17">
            <v>0</v>
          </cell>
          <cell r="Z17">
            <v>0</v>
          </cell>
        </row>
        <row r="18">
          <cell r="Y18">
            <v>0</v>
          </cell>
          <cell r="Z18">
            <v>0</v>
          </cell>
        </row>
        <row r="19">
          <cell r="Y19">
            <v>0</v>
          </cell>
          <cell r="Z19">
            <v>0</v>
          </cell>
        </row>
        <row r="20">
          <cell r="Y20">
            <v>0</v>
          </cell>
          <cell r="Z20">
            <v>0</v>
          </cell>
        </row>
        <row r="21">
          <cell r="Y21">
            <v>0</v>
          </cell>
          <cell r="Z21">
            <v>0</v>
          </cell>
        </row>
      </sheetData>
      <sheetData sheetId="3">
        <row r="12">
          <cell r="AA12">
            <v>0</v>
          </cell>
          <cell r="AB12">
            <v>0</v>
          </cell>
        </row>
        <row r="13">
          <cell r="AA13">
            <v>0</v>
          </cell>
          <cell r="AB13">
            <v>0</v>
          </cell>
        </row>
        <row r="14">
          <cell r="AA14">
            <v>0</v>
          </cell>
          <cell r="AB14">
            <v>0</v>
          </cell>
        </row>
        <row r="15">
          <cell r="AA15">
            <v>0</v>
          </cell>
          <cell r="AB15">
            <v>0</v>
          </cell>
        </row>
        <row r="16">
          <cell r="AA16">
            <v>0</v>
          </cell>
          <cell r="AB16">
            <v>0</v>
          </cell>
        </row>
        <row r="17">
          <cell r="AA17">
            <v>0</v>
          </cell>
          <cell r="AB17">
            <v>0</v>
          </cell>
        </row>
        <row r="18">
          <cell r="AA18">
            <v>0</v>
          </cell>
          <cell r="AB18">
            <v>0</v>
          </cell>
        </row>
        <row r="19">
          <cell r="AA19">
            <v>0</v>
          </cell>
          <cell r="AB19">
            <v>0</v>
          </cell>
        </row>
      </sheetData>
      <sheetData sheetId="4">
        <row r="14">
          <cell r="L14">
            <v>0</v>
          </cell>
          <cell r="M14">
            <v>0</v>
          </cell>
        </row>
        <row r="15">
          <cell r="L15">
            <v>0</v>
          </cell>
          <cell r="M15">
            <v>0</v>
          </cell>
        </row>
        <row r="16">
          <cell r="L16">
            <v>0</v>
          </cell>
          <cell r="M16">
            <v>0</v>
          </cell>
        </row>
        <row r="17">
          <cell r="L17">
            <v>0</v>
          </cell>
          <cell r="M17">
            <v>0</v>
          </cell>
        </row>
        <row r="18">
          <cell r="L18">
            <v>0</v>
          </cell>
          <cell r="M18">
            <v>0</v>
          </cell>
        </row>
        <row r="19">
          <cell r="L19">
            <v>0</v>
          </cell>
          <cell r="M19">
            <v>0</v>
          </cell>
        </row>
        <row r="20">
          <cell r="L20">
            <v>0</v>
          </cell>
          <cell r="M20">
            <v>0</v>
          </cell>
        </row>
        <row r="21">
          <cell r="L21">
            <v>0</v>
          </cell>
          <cell r="M21">
            <v>0</v>
          </cell>
        </row>
      </sheetData>
      <sheetData sheetId="5">
        <row r="10">
          <cell r="T10">
            <v>2013</v>
          </cell>
          <cell r="U10">
            <v>2014</v>
          </cell>
          <cell r="V10">
            <v>2015</v>
          </cell>
          <cell r="W10">
            <v>2016</v>
          </cell>
          <cell r="X10">
            <v>2017</v>
          </cell>
          <cell r="Y10">
            <v>2018</v>
          </cell>
          <cell r="Z10">
            <v>2019</v>
          </cell>
          <cell r="AA10">
            <v>2020</v>
          </cell>
        </row>
        <row r="11">
          <cell r="T11" t="str">
            <v/>
          </cell>
          <cell r="U11" t="str">
            <v/>
          </cell>
          <cell r="V11" t="str">
            <v/>
          </cell>
          <cell r="W11" t="str">
            <v/>
          </cell>
          <cell r="X11" t="str">
            <v/>
          </cell>
          <cell r="Y11" t="str">
            <v/>
          </cell>
          <cell r="Z11" t="str">
            <v/>
          </cell>
          <cell r="AA11" t="str">
            <v/>
          </cell>
          <cell r="AB11">
            <v>0</v>
          </cell>
          <cell r="AC11">
            <v>0</v>
          </cell>
          <cell r="AJ11">
            <v>0</v>
          </cell>
          <cell r="AK11">
            <v>0</v>
          </cell>
        </row>
      </sheetData>
      <sheetData sheetId="6">
        <row r="9">
          <cell r="AA9">
            <v>0</v>
          </cell>
          <cell r="AB9">
            <v>0</v>
          </cell>
          <cell r="AC9">
            <v>0</v>
          </cell>
          <cell r="AD9">
            <v>0</v>
          </cell>
        </row>
      </sheetData>
      <sheetData sheetId="7">
        <row r="9">
          <cell r="Y9">
            <v>0</v>
          </cell>
          <cell r="Z9">
            <v>0</v>
          </cell>
          <cell r="AA9">
            <v>0</v>
          </cell>
          <cell r="AB9">
            <v>0</v>
          </cell>
        </row>
      </sheetData>
      <sheetData sheetId="8">
        <row r="9">
          <cell r="Y9">
            <v>0</v>
          </cell>
          <cell r="Z9">
            <v>0</v>
          </cell>
          <cell r="AA9">
            <v>0</v>
          </cell>
          <cell r="AG9">
            <v>0</v>
          </cell>
          <cell r="AH9">
            <v>0</v>
          </cell>
        </row>
      </sheetData>
      <sheetData sheetId="9">
        <row r="3">
          <cell r="BD3" t="str">
            <v/>
          </cell>
          <cell r="BE3">
            <v>0</v>
          </cell>
        </row>
        <row r="4">
          <cell r="BD4" t="e">
            <v>#DIV/0!</v>
          </cell>
          <cell r="BO4" t="e">
            <v>#VALUE!</v>
          </cell>
          <cell r="BP4" t="e">
            <v>#VALUE!</v>
          </cell>
          <cell r="BQ4" t="e">
            <v>#VALUE!</v>
          </cell>
        </row>
        <row r="6">
          <cell r="BF6" t="e">
            <v>#VALUE!</v>
          </cell>
          <cell r="BG6" t="e">
            <v>#VALUE!</v>
          </cell>
        </row>
        <row r="9">
          <cell r="AB9">
            <v>0</v>
          </cell>
          <cell r="AC9">
            <v>0</v>
          </cell>
          <cell r="AD9">
            <v>0</v>
          </cell>
          <cell r="AE9">
            <v>0</v>
          </cell>
        </row>
        <row r="10">
          <cell r="BD10" t="e">
            <v>#N/A</v>
          </cell>
          <cell r="BE10">
            <v>0</v>
          </cell>
        </row>
        <row r="11">
          <cell r="BD11" t="e">
            <v>#DIV/0!</v>
          </cell>
        </row>
      </sheetData>
      <sheetData sheetId="10">
        <row r="9">
          <cell r="T9">
            <v>0</v>
          </cell>
          <cell r="U9">
            <v>0</v>
          </cell>
          <cell r="V9">
            <v>0</v>
          </cell>
          <cell r="W9">
            <v>0</v>
          </cell>
        </row>
      </sheetData>
      <sheetData sheetId="11">
        <row r="7">
          <cell r="V7">
            <v>0</v>
          </cell>
          <cell r="W7">
            <v>0</v>
          </cell>
        </row>
      </sheetData>
      <sheetData sheetId="12">
        <row r="6">
          <cell r="AA6">
            <v>0</v>
          </cell>
          <cell r="AB6">
            <v>0</v>
          </cell>
        </row>
        <row r="10">
          <cell r="AA10">
            <v>0</v>
          </cell>
          <cell r="AB10">
            <v>0</v>
          </cell>
        </row>
      </sheetData>
      <sheetData sheetId="13">
        <row r="3">
          <cell r="W3">
            <v>0</v>
          </cell>
          <cell r="X3">
            <v>0</v>
          </cell>
        </row>
        <row r="5">
          <cell r="W5">
            <v>0</v>
          </cell>
        </row>
        <row r="8">
          <cell r="W8">
            <v>0</v>
          </cell>
          <cell r="X8">
            <v>0</v>
          </cell>
        </row>
      </sheetData>
      <sheetData sheetId="14">
        <row r="5">
          <cell r="L5">
            <v>0</v>
          </cell>
          <cell r="M5">
            <v>0</v>
          </cell>
        </row>
        <row r="7">
          <cell r="L7">
            <v>0</v>
          </cell>
          <cell r="M7">
            <v>0</v>
          </cell>
        </row>
      </sheetData>
      <sheetData sheetId="15">
        <row r="5">
          <cell r="N5">
            <v>0</v>
          </cell>
          <cell r="O5">
            <v>0</v>
          </cell>
        </row>
        <row r="6">
          <cell r="N6">
            <v>0</v>
          </cell>
          <cell r="O6">
            <v>0</v>
          </cell>
        </row>
      </sheetData>
      <sheetData sheetId="16">
        <row r="12">
          <cell r="M12">
            <v>0</v>
          </cell>
          <cell r="N12">
            <v>0</v>
          </cell>
        </row>
      </sheetData>
      <sheetData sheetId="17">
        <row r="9">
          <cell r="AA9">
            <v>0</v>
          </cell>
        </row>
      </sheetData>
      <sheetData sheetId="18">
        <row r="9">
          <cell r="U9">
            <v>0</v>
          </cell>
          <cell r="V9">
            <v>0</v>
          </cell>
        </row>
      </sheetData>
      <sheetData sheetId="19">
        <row r="9">
          <cell r="U9">
            <v>0</v>
          </cell>
          <cell r="V9">
            <v>0</v>
          </cell>
        </row>
      </sheetData>
      <sheetData sheetId="20">
        <row r="9">
          <cell r="Y9">
            <v>0</v>
          </cell>
          <cell r="Z9">
            <v>0</v>
          </cell>
        </row>
      </sheetData>
      <sheetData sheetId="21">
        <row r="9">
          <cell r="Q9">
            <v>0</v>
          </cell>
          <cell r="R9">
            <v>0</v>
          </cell>
        </row>
      </sheetData>
      <sheetData sheetId="22">
        <row r="10">
          <cell r="Y10">
            <v>0</v>
          </cell>
          <cell r="Z10">
            <v>0</v>
          </cell>
        </row>
      </sheetData>
      <sheetData sheetId="23">
        <row r="6">
          <cell r="U6">
            <v>0</v>
          </cell>
        </row>
        <row r="9">
          <cell r="U9">
            <v>0</v>
          </cell>
        </row>
      </sheetData>
      <sheetData sheetId="24">
        <row r="6">
          <cell r="L6">
            <v>0</v>
          </cell>
          <cell r="M6">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A213"/>
  <sheetViews>
    <sheetView showGridLines="0" showRowColHeaders="0" zoomScale="85" zoomScaleNormal="85" zoomScaleSheetLayoutView="145" workbookViewId="0">
      <selection activeCell="U173" sqref="U173"/>
    </sheetView>
  </sheetViews>
  <sheetFormatPr defaultRowHeight="11.25"/>
  <cols>
    <col min="1" max="1" width="12.5" style="662" customWidth="1"/>
    <col min="2" max="2" width="7.625" style="662" customWidth="1"/>
    <col min="3" max="3" width="9.375" style="662" customWidth="1"/>
    <col min="4" max="4" width="4.5" style="662" customWidth="1"/>
    <col min="5" max="5" width="2.25" style="662" customWidth="1"/>
    <col min="6" max="6" width="6" style="662" customWidth="1"/>
    <col min="7" max="8" width="1.625" style="662" customWidth="1"/>
    <col min="9" max="9" width="8.75" style="662" customWidth="1"/>
    <col min="10" max="10" width="1.625" style="662" customWidth="1"/>
    <col min="11" max="11" width="1.125" style="662" customWidth="1"/>
    <col min="12" max="12" width="4.75" style="662" customWidth="1"/>
    <col min="13" max="13" width="2" style="662" customWidth="1"/>
    <col min="14" max="14" width="4" style="662" customWidth="1"/>
    <col min="15" max="16" width="4.375" style="662" customWidth="1"/>
    <col min="17" max="17" width="5.625" style="662" customWidth="1"/>
    <col min="18" max="18" width="4.875" style="662" customWidth="1"/>
    <col min="19" max="19" width="8.5" style="662" customWidth="1"/>
    <col min="20" max="25" width="9" style="662" customWidth="1"/>
    <col min="26" max="26" width="8.375" style="662" customWidth="1"/>
    <col min="27" max="27" width="10.375" style="663" customWidth="1"/>
    <col min="28" max="29" width="9" style="662" customWidth="1"/>
    <col min="30" max="30" width="10.375" style="662" customWidth="1"/>
    <col min="31" max="42" width="9" style="662" customWidth="1"/>
    <col min="43" max="16384" width="9" style="662"/>
  </cols>
  <sheetData>
    <row r="2" spans="1:27" ht="53.25" customHeight="1">
      <c r="A2" s="661"/>
      <c r="B2" s="661"/>
      <c r="C2" s="661"/>
      <c r="D2" s="661"/>
      <c r="E2" s="661"/>
      <c r="F2" s="661"/>
      <c r="G2" s="661"/>
      <c r="H2" s="661"/>
      <c r="I2" s="661"/>
      <c r="J2" s="661"/>
      <c r="K2" s="661"/>
      <c r="L2" s="661"/>
      <c r="M2" s="661"/>
    </row>
    <row r="3" spans="1:27" ht="4.5" customHeight="1">
      <c r="A3" s="661"/>
      <c r="B3" s="661"/>
      <c r="C3" s="661"/>
      <c r="D3" s="661"/>
      <c r="E3" s="661"/>
      <c r="F3" s="661"/>
      <c r="G3" s="661"/>
      <c r="H3" s="661"/>
      <c r="I3" s="661"/>
      <c r="J3" s="661"/>
      <c r="K3" s="661"/>
      <c r="L3" s="661"/>
      <c r="M3" s="661"/>
    </row>
    <row r="4" spans="1:27" ht="24.75" customHeight="1">
      <c r="A4" s="694"/>
      <c r="B4" s="695"/>
      <c r="C4" s="701" t="str">
        <f>IF('2_入力'!F9="","",'2_入力'!F9)</f>
        <v/>
      </c>
      <c r="D4" s="701"/>
      <c r="E4" s="701"/>
      <c r="F4" s="701"/>
      <c r="G4" s="701"/>
      <c r="H4" s="701"/>
      <c r="I4" s="701"/>
      <c r="J4" s="701"/>
      <c r="K4" s="701"/>
      <c r="L4" s="701"/>
      <c r="M4" s="701"/>
      <c r="N4" s="701"/>
      <c r="O4" s="701"/>
      <c r="P4" s="701"/>
      <c r="Q4" s="701"/>
      <c r="R4" s="701"/>
      <c r="S4" s="701"/>
    </row>
    <row r="5" spans="1:27" ht="4.5" customHeight="1">
      <c r="A5" s="661"/>
      <c r="B5" s="661"/>
      <c r="C5" s="661"/>
      <c r="D5" s="661"/>
      <c r="E5" s="661"/>
      <c r="F5" s="661"/>
      <c r="G5" s="661"/>
      <c r="H5" s="661"/>
      <c r="I5" s="661"/>
      <c r="J5" s="661"/>
      <c r="K5" s="661"/>
      <c r="L5" s="661"/>
      <c r="M5" s="661"/>
    </row>
    <row r="6" spans="1:27" ht="24.75" customHeight="1">
      <c r="A6" s="661"/>
      <c r="B6" s="661"/>
      <c r="C6" s="661"/>
      <c r="D6" s="661"/>
      <c r="E6" s="661"/>
      <c r="F6" s="661"/>
      <c r="G6" s="661"/>
      <c r="H6" s="661"/>
      <c r="I6" s="661"/>
      <c r="J6" s="661"/>
      <c r="K6" s="661"/>
      <c r="L6" s="661"/>
      <c r="M6" s="661"/>
    </row>
    <row r="7" spans="1:27">
      <c r="A7" s="661"/>
      <c r="B7" s="661"/>
      <c r="C7" s="661"/>
      <c r="D7" s="661"/>
      <c r="E7" s="661"/>
      <c r="F7" s="661"/>
      <c r="G7" s="661"/>
      <c r="H7" s="661"/>
      <c r="I7" s="661"/>
      <c r="J7" s="661"/>
      <c r="K7" s="661"/>
      <c r="L7" s="661"/>
      <c r="M7" s="661"/>
    </row>
    <row r="8" spans="1:27" ht="18" customHeight="1">
      <c r="A8" s="701" t="s">
        <v>664</v>
      </c>
      <c r="B8" s="701" t="str">
        <f>IF('2_入力'!E13="","",'2_入力'!E13)</f>
        <v/>
      </c>
      <c r="C8" s="701"/>
      <c r="D8" s="701"/>
      <c r="E8" s="701"/>
      <c r="F8" s="701"/>
      <c r="G8" s="701"/>
      <c r="H8" s="701"/>
      <c r="I8" s="701"/>
      <c r="J8" s="701"/>
      <c r="K8" s="664"/>
      <c r="L8" s="661"/>
      <c r="M8" s="661"/>
    </row>
    <row r="9" spans="1:27" ht="18" customHeight="1">
      <c r="A9" s="701"/>
      <c r="B9" s="701"/>
      <c r="C9" s="701"/>
      <c r="D9" s="701"/>
      <c r="E9" s="701"/>
      <c r="F9" s="701"/>
      <c r="G9" s="701"/>
      <c r="H9" s="701"/>
      <c r="I9" s="701"/>
      <c r="J9" s="701"/>
      <c r="K9" s="664"/>
      <c r="L9" s="661"/>
      <c r="M9" s="661"/>
    </row>
    <row r="10" spans="1:27" ht="18" customHeight="1">
      <c r="A10" s="701" t="s">
        <v>686</v>
      </c>
      <c r="B10" s="703" t="str">
        <f>IF('2_入力'!G13="","",'2_入力'!G13)</f>
        <v/>
      </c>
      <c r="C10" s="702" t="s">
        <v>688</v>
      </c>
      <c r="D10" s="709"/>
      <c r="E10" s="709"/>
      <c r="F10" s="709"/>
      <c r="G10" s="709"/>
      <c r="H10" s="709"/>
      <c r="I10" s="709"/>
      <c r="J10" s="709"/>
      <c r="K10" s="664"/>
      <c r="L10" s="661"/>
      <c r="M10" s="661"/>
    </row>
    <row r="11" spans="1:27" ht="18" customHeight="1">
      <c r="A11" s="701"/>
      <c r="B11" s="703"/>
      <c r="C11" s="702"/>
      <c r="D11" s="709"/>
      <c r="E11" s="709"/>
      <c r="F11" s="709"/>
      <c r="G11" s="709"/>
      <c r="H11" s="709"/>
      <c r="I11" s="709"/>
      <c r="J11" s="709"/>
      <c r="K11" s="664"/>
      <c r="L11" s="661"/>
      <c r="M11" s="661"/>
    </row>
    <row r="12" spans="1:27" ht="18" customHeight="1">
      <c r="A12" s="701" t="s">
        <v>666</v>
      </c>
      <c r="B12" s="701" t="str">
        <f>IF('2_入力'!H13="","",'2_入力'!H13&amp;'2_入力'!I13)</f>
        <v/>
      </c>
      <c r="C12" s="701"/>
      <c r="D12" s="701"/>
      <c r="E12" s="701"/>
      <c r="F12" s="701"/>
      <c r="G12" s="701"/>
      <c r="H12" s="701"/>
      <c r="I12" s="701"/>
      <c r="J12" s="701"/>
      <c r="L12" s="661"/>
      <c r="M12" s="661"/>
      <c r="Y12" s="665"/>
      <c r="Z12" s="665"/>
      <c r="AA12" s="666"/>
    </row>
    <row r="13" spans="1:27" ht="18" customHeight="1">
      <c r="A13" s="701"/>
      <c r="B13" s="701"/>
      <c r="C13" s="701"/>
      <c r="D13" s="701"/>
      <c r="E13" s="701"/>
      <c r="F13" s="701"/>
      <c r="G13" s="701"/>
      <c r="H13" s="701"/>
      <c r="I13" s="701"/>
      <c r="J13" s="701"/>
      <c r="K13" s="667"/>
      <c r="L13" s="661"/>
      <c r="M13" s="661"/>
      <c r="V13" s="668"/>
      <c r="Y13" s="665"/>
      <c r="Z13" s="665"/>
      <c r="AA13" s="666"/>
    </row>
    <row r="14" spans="1:27" ht="18" customHeight="1">
      <c r="A14" s="701" t="s">
        <v>687</v>
      </c>
      <c r="B14" s="708" t="str">
        <f>IF('2_入力'!O13="","",'2_入力'!O13)</f>
        <v/>
      </c>
      <c r="C14" s="708"/>
      <c r="D14" s="708"/>
      <c r="E14" s="708"/>
      <c r="F14" s="708"/>
      <c r="G14" s="708"/>
      <c r="H14" s="708"/>
      <c r="I14" s="708"/>
      <c r="J14" s="708"/>
      <c r="L14" s="710" t="str">
        <f>'2_入力'!AE13</f>
        <v/>
      </c>
      <c r="M14" s="710"/>
      <c r="N14" s="710"/>
      <c r="O14" s="710"/>
      <c r="P14" s="710"/>
      <c r="Q14" s="711" t="str">
        <f>'2_入力'!AF13&amp;'2_入力'!AG13</f>
        <v/>
      </c>
      <c r="R14" s="711"/>
      <c r="S14" s="711"/>
      <c r="Y14" s="665"/>
      <c r="Z14" s="665"/>
      <c r="AA14" s="666"/>
    </row>
    <row r="15" spans="1:27" ht="18" customHeight="1">
      <c r="A15" s="701"/>
      <c r="B15" s="708"/>
      <c r="C15" s="708"/>
      <c r="D15" s="708"/>
      <c r="E15" s="708"/>
      <c r="F15" s="708"/>
      <c r="G15" s="708"/>
      <c r="H15" s="708"/>
      <c r="I15" s="708"/>
      <c r="J15" s="708"/>
      <c r="K15" s="669"/>
      <c r="L15" s="705" t="s">
        <v>641</v>
      </c>
      <c r="M15" s="705"/>
      <c r="N15" s="705"/>
      <c r="O15" s="712" t="str">
        <f>IF('2_入力'!Z13=0,"",'2_入力'!Z13)</f>
        <v/>
      </c>
      <c r="P15" s="712"/>
      <c r="Q15" s="706" t="s">
        <v>641</v>
      </c>
      <c r="R15" s="706"/>
      <c r="S15" s="670" t="str">
        <f>IF('2_入力'!AC13=0,"",'2_入力'!AC13)</f>
        <v/>
      </c>
      <c r="Y15" s="665"/>
      <c r="Z15" s="665"/>
      <c r="AA15" s="666"/>
    </row>
    <row r="16" spans="1:27" ht="24.75" customHeight="1">
      <c r="A16" s="661"/>
      <c r="B16" s="661"/>
      <c r="C16" s="661"/>
      <c r="D16" s="661"/>
      <c r="E16" s="661"/>
      <c r="F16" s="661"/>
      <c r="G16" s="661"/>
      <c r="H16" s="661"/>
      <c r="I16" s="661"/>
      <c r="J16" s="661"/>
      <c r="K16" s="661"/>
      <c r="L16" s="661"/>
      <c r="M16" s="661"/>
      <c r="Y16" s="665"/>
      <c r="Z16" s="665"/>
      <c r="AA16" s="666"/>
    </row>
    <row r="17" spans="1:27" ht="11.25" customHeight="1">
      <c r="A17" s="661"/>
      <c r="B17" s="661"/>
      <c r="C17" s="661"/>
      <c r="D17" s="661"/>
      <c r="E17" s="661"/>
      <c r="F17" s="661"/>
      <c r="G17" s="661"/>
      <c r="H17" s="661"/>
      <c r="I17" s="661"/>
      <c r="J17" s="661"/>
      <c r="K17" s="661"/>
      <c r="L17" s="661"/>
      <c r="M17" s="661"/>
      <c r="Y17" s="665"/>
      <c r="Z17" s="665"/>
      <c r="AA17" s="666"/>
    </row>
    <row r="18" spans="1:27" ht="36" customHeight="1">
      <c r="A18" s="671" t="s">
        <v>792</v>
      </c>
      <c r="B18" s="701" t="str">
        <f>IF('2_入力'!E14="","",'2_入力'!E14)</f>
        <v/>
      </c>
      <c r="C18" s="701"/>
      <c r="D18" s="701"/>
      <c r="E18" s="701"/>
      <c r="F18" s="701"/>
      <c r="G18" s="701"/>
      <c r="H18" s="701"/>
      <c r="I18" s="701"/>
      <c r="J18" s="701"/>
      <c r="K18" s="661"/>
      <c r="L18" s="661"/>
      <c r="M18" s="661"/>
      <c r="N18" s="672"/>
      <c r="O18" s="672"/>
      <c r="P18" s="673"/>
      <c r="Q18" s="673"/>
      <c r="R18" s="663"/>
      <c r="S18" s="674"/>
      <c r="Y18" s="665"/>
      <c r="Z18" s="665"/>
      <c r="AA18" s="666"/>
    </row>
    <row r="19" spans="1:27" ht="36" customHeight="1">
      <c r="A19" s="675" t="s">
        <v>791</v>
      </c>
      <c r="B19" s="676" t="str">
        <f>IF('2_入力'!G14="","",'2_入力'!G14)</f>
        <v/>
      </c>
      <c r="C19" s="677" t="s">
        <v>688</v>
      </c>
      <c r="D19" s="678"/>
      <c r="E19" s="661"/>
      <c r="F19" s="661"/>
      <c r="G19" s="661"/>
      <c r="H19" s="661"/>
      <c r="I19" s="661"/>
      <c r="J19" s="661"/>
      <c r="K19" s="661"/>
      <c r="L19" s="661"/>
      <c r="M19" s="661"/>
    </row>
    <row r="20" spans="1:27" ht="36" customHeight="1">
      <c r="A20" s="671" t="s">
        <v>793</v>
      </c>
      <c r="B20" s="701" t="str">
        <f>IF('2_入力'!H14="","",'2_入力'!H14&amp;'2_入力'!I14)</f>
        <v/>
      </c>
      <c r="C20" s="701"/>
      <c r="D20" s="701"/>
      <c r="E20" s="701"/>
      <c r="F20" s="701"/>
      <c r="G20" s="701"/>
      <c r="H20" s="701"/>
      <c r="I20" s="701"/>
      <c r="J20" s="701"/>
      <c r="K20" s="661"/>
      <c r="L20" s="661"/>
      <c r="M20" s="661"/>
      <c r="N20" s="679"/>
      <c r="O20" s="679"/>
      <c r="P20" s="679"/>
      <c r="Q20" s="679"/>
      <c r="R20" s="679"/>
      <c r="S20" s="679"/>
    </row>
    <row r="21" spans="1:27" ht="18" customHeight="1">
      <c r="A21" s="701" t="s">
        <v>794</v>
      </c>
      <c r="B21" s="708" t="str">
        <f>IF('2_入力'!O14="","",'2_入力'!O14)</f>
        <v/>
      </c>
      <c r="C21" s="708"/>
      <c r="D21" s="708"/>
      <c r="E21" s="708"/>
      <c r="F21" s="708"/>
      <c r="G21" s="708"/>
      <c r="H21" s="708"/>
      <c r="I21" s="708"/>
      <c r="J21" s="708"/>
      <c r="K21" s="661"/>
      <c r="L21" s="704" t="str">
        <f>'2_入力'!AE14</f>
        <v/>
      </c>
      <c r="M21" s="704"/>
      <c r="N21" s="704"/>
      <c r="O21" s="704"/>
      <c r="P21" s="704"/>
      <c r="Q21" s="704" t="str">
        <f>'2_入力'!AF14&amp;'2_入力'!AG14</f>
        <v/>
      </c>
      <c r="R21" s="704"/>
      <c r="S21" s="704"/>
    </row>
    <row r="22" spans="1:27" ht="18" customHeight="1">
      <c r="A22" s="701"/>
      <c r="B22" s="708"/>
      <c r="C22" s="708"/>
      <c r="D22" s="708"/>
      <c r="E22" s="708"/>
      <c r="F22" s="708"/>
      <c r="G22" s="708"/>
      <c r="H22" s="708"/>
      <c r="I22" s="708"/>
      <c r="J22" s="708"/>
      <c r="K22" s="661"/>
      <c r="L22" s="705" t="s">
        <v>641</v>
      </c>
      <c r="M22" s="705"/>
      <c r="N22" s="705"/>
      <c r="O22" s="707" t="str">
        <f>IF('2_入力'!Z14=0,"",'2_入力'!Z14)</f>
        <v/>
      </c>
      <c r="P22" s="707"/>
      <c r="Q22" s="706" t="s">
        <v>641</v>
      </c>
      <c r="R22" s="706"/>
      <c r="S22" s="680" t="str">
        <f>IF('2_入力'!AC14=0,"",'2_入力'!AC14)</f>
        <v/>
      </c>
    </row>
    <row r="23" spans="1:27" ht="24.75" customHeight="1">
      <c r="A23" s="661"/>
      <c r="B23" s="661"/>
      <c r="C23" s="661"/>
      <c r="D23" s="661"/>
      <c r="E23" s="661"/>
      <c r="F23" s="661"/>
      <c r="G23" s="661"/>
      <c r="H23" s="661"/>
      <c r="I23" s="661"/>
      <c r="J23" s="661"/>
      <c r="K23" s="661"/>
      <c r="L23" s="661"/>
      <c r="M23" s="661"/>
      <c r="N23" s="679"/>
      <c r="O23" s="679"/>
      <c r="P23" s="679"/>
      <c r="Q23" s="679"/>
      <c r="R23" s="679"/>
      <c r="S23" s="679"/>
    </row>
    <row r="24" spans="1:27" ht="11.25" customHeight="1">
      <c r="A24" s="661"/>
      <c r="B24" s="661"/>
      <c r="C24" s="661"/>
      <c r="D24" s="661"/>
      <c r="E24" s="661"/>
      <c r="F24" s="661"/>
      <c r="G24" s="661"/>
      <c r="H24" s="661"/>
      <c r="I24" s="661"/>
      <c r="J24" s="661"/>
      <c r="K24" s="661"/>
      <c r="L24" s="661"/>
      <c r="M24" s="661"/>
    </row>
    <row r="25" spans="1:27" ht="36" customHeight="1">
      <c r="A25" s="671" t="s">
        <v>792</v>
      </c>
      <c r="B25" s="701" t="str">
        <f>IF('2_入力'!E15="","",'2_入力'!E15)</f>
        <v/>
      </c>
      <c r="C25" s="701"/>
      <c r="D25" s="701"/>
      <c r="E25" s="701"/>
      <c r="F25" s="701"/>
      <c r="G25" s="701"/>
      <c r="H25" s="701"/>
      <c r="I25" s="701"/>
      <c r="J25" s="701"/>
      <c r="K25" s="661"/>
      <c r="L25" s="661"/>
      <c r="M25" s="661"/>
    </row>
    <row r="26" spans="1:27" ht="36" customHeight="1">
      <c r="A26" s="675" t="s">
        <v>791</v>
      </c>
      <c r="B26" s="676" t="str">
        <f>IF('2_入力'!G15="","",'2_入力'!G15)</f>
        <v/>
      </c>
      <c r="C26" s="677" t="s">
        <v>688</v>
      </c>
      <c r="D26" s="661"/>
      <c r="E26" s="661"/>
      <c r="F26" s="661"/>
      <c r="G26" s="661"/>
      <c r="H26" s="661"/>
      <c r="I26" s="661"/>
      <c r="J26" s="661"/>
      <c r="K26" s="661"/>
      <c r="L26" s="661"/>
      <c r="M26" s="661"/>
      <c r="O26" s="681"/>
      <c r="P26" s="681"/>
      <c r="Q26" s="682"/>
      <c r="R26" s="682"/>
      <c r="S26" s="683"/>
    </row>
    <row r="27" spans="1:27" ht="36" customHeight="1">
      <c r="A27" s="671" t="s">
        <v>793</v>
      </c>
      <c r="B27" s="701" t="str">
        <f>IF('2_入力'!H15="","",'2_入力'!H15&amp;'2_入力'!I15)</f>
        <v/>
      </c>
      <c r="C27" s="701"/>
      <c r="D27" s="701"/>
      <c r="E27" s="701"/>
      <c r="F27" s="701"/>
      <c r="G27" s="701"/>
      <c r="H27" s="701"/>
      <c r="I27" s="701"/>
      <c r="J27" s="701"/>
      <c r="K27" s="661"/>
      <c r="L27" s="661"/>
      <c r="M27" s="661"/>
      <c r="Q27" s="684"/>
      <c r="R27" s="685"/>
      <c r="S27" s="685"/>
    </row>
    <row r="28" spans="1:27" ht="18" customHeight="1">
      <c r="A28" s="701" t="s">
        <v>794</v>
      </c>
      <c r="B28" s="708" t="str">
        <f>IF('2_入力'!O15="","",'2_入力'!O15)</f>
        <v/>
      </c>
      <c r="C28" s="708"/>
      <c r="D28" s="708"/>
      <c r="E28" s="708"/>
      <c r="F28" s="708"/>
      <c r="G28" s="708"/>
      <c r="H28" s="708"/>
      <c r="I28" s="708"/>
      <c r="J28" s="708"/>
      <c r="K28" s="661"/>
      <c r="L28" s="704" t="str">
        <f>'2_入力'!AE15</f>
        <v/>
      </c>
      <c r="M28" s="704"/>
      <c r="N28" s="704"/>
      <c r="O28" s="704"/>
      <c r="P28" s="704"/>
      <c r="Q28" s="704" t="str">
        <f>'2_入力'!AF15&amp;'2_入力'!AG15</f>
        <v/>
      </c>
      <c r="R28" s="704"/>
      <c r="S28" s="704"/>
    </row>
    <row r="29" spans="1:27" ht="18" customHeight="1">
      <c r="A29" s="701"/>
      <c r="B29" s="708"/>
      <c r="C29" s="708"/>
      <c r="D29" s="708"/>
      <c r="E29" s="708"/>
      <c r="F29" s="708"/>
      <c r="G29" s="708"/>
      <c r="H29" s="708"/>
      <c r="I29" s="708"/>
      <c r="J29" s="708"/>
      <c r="K29" s="661"/>
      <c r="L29" s="705" t="s">
        <v>641</v>
      </c>
      <c r="M29" s="705"/>
      <c r="N29" s="705"/>
      <c r="O29" s="707" t="str">
        <f>IF('2_入力'!Z15=0,"",'2_入力'!Z15)</f>
        <v/>
      </c>
      <c r="P29" s="707"/>
      <c r="Q29" s="706" t="s">
        <v>641</v>
      </c>
      <c r="R29" s="706"/>
      <c r="S29" s="680" t="str">
        <f>IF('2_入力'!AC15=0,"",'2_入力'!AC15)</f>
        <v/>
      </c>
    </row>
    <row r="30" spans="1:27" ht="24.75" customHeight="1">
      <c r="A30" s="661"/>
      <c r="B30" s="661"/>
      <c r="C30" s="661"/>
      <c r="D30" s="661"/>
      <c r="E30" s="661"/>
      <c r="F30" s="661"/>
      <c r="G30" s="661"/>
      <c r="H30" s="661"/>
      <c r="I30" s="661"/>
      <c r="J30" s="661"/>
      <c r="K30" s="661"/>
      <c r="L30" s="661"/>
      <c r="M30" s="664"/>
      <c r="N30" s="664"/>
      <c r="O30" s="686"/>
      <c r="P30" s="686"/>
      <c r="Q30" s="687"/>
      <c r="R30" s="687"/>
      <c r="S30" s="686"/>
    </row>
    <row r="31" spans="1:27" ht="11.25" customHeight="1">
      <c r="A31" s="661"/>
      <c r="B31" s="661"/>
      <c r="C31" s="661"/>
      <c r="D31" s="661"/>
      <c r="E31" s="661"/>
      <c r="F31" s="661"/>
      <c r="G31" s="661"/>
      <c r="H31" s="661"/>
      <c r="I31" s="661"/>
      <c r="J31" s="661"/>
      <c r="K31" s="661"/>
      <c r="L31" s="661"/>
      <c r="M31" s="688"/>
      <c r="N31" s="688"/>
      <c r="Q31" s="684"/>
      <c r="R31" s="689"/>
      <c r="S31" s="689"/>
    </row>
    <row r="32" spans="1:27" ht="36" customHeight="1">
      <c r="A32" s="671" t="s">
        <v>792</v>
      </c>
      <c r="B32" s="701" t="str">
        <f>IF('2_入力'!E16="","",'2_入力'!E16)</f>
        <v/>
      </c>
      <c r="C32" s="701"/>
      <c r="D32" s="701"/>
      <c r="E32" s="701"/>
      <c r="F32" s="701"/>
      <c r="G32" s="701"/>
      <c r="H32" s="701"/>
      <c r="I32" s="701"/>
      <c r="J32" s="701"/>
      <c r="K32" s="661"/>
      <c r="L32" s="661"/>
      <c r="M32" s="669"/>
      <c r="N32" s="669"/>
      <c r="O32" s="690"/>
      <c r="P32" s="690"/>
      <c r="Q32" s="691"/>
      <c r="R32" s="691"/>
      <c r="S32" s="668"/>
    </row>
    <row r="33" spans="1:19" ht="36" customHeight="1">
      <c r="A33" s="675" t="s">
        <v>791</v>
      </c>
      <c r="B33" s="676" t="str">
        <f>IF('2_入力'!G16="","",'2_入力'!G16)</f>
        <v/>
      </c>
      <c r="C33" s="677" t="s">
        <v>688</v>
      </c>
      <c r="D33" s="661"/>
      <c r="E33" s="661"/>
      <c r="F33" s="661"/>
      <c r="G33" s="661"/>
      <c r="H33" s="661"/>
      <c r="I33" s="661"/>
      <c r="J33" s="661"/>
      <c r="K33" s="661"/>
      <c r="L33" s="661"/>
      <c r="M33" s="688"/>
      <c r="N33" s="688"/>
      <c r="Q33" s="684"/>
      <c r="R33" s="685"/>
      <c r="S33" s="685"/>
    </row>
    <row r="34" spans="1:19" ht="36" customHeight="1">
      <c r="A34" s="671" t="s">
        <v>793</v>
      </c>
      <c r="B34" s="701" t="str">
        <f>IF('2_入力'!H16="","",'2_入力'!H16&amp;'2_入力'!I16)</f>
        <v/>
      </c>
      <c r="C34" s="701"/>
      <c r="D34" s="701"/>
      <c r="E34" s="701"/>
      <c r="F34" s="701"/>
      <c r="G34" s="701"/>
      <c r="H34" s="701"/>
      <c r="I34" s="701"/>
      <c r="J34" s="701"/>
      <c r="K34" s="661"/>
      <c r="L34" s="661"/>
      <c r="M34" s="661"/>
    </row>
    <row r="35" spans="1:19" ht="18" customHeight="1">
      <c r="A35" s="701" t="s">
        <v>794</v>
      </c>
      <c r="B35" s="708" t="str">
        <f>IF('2_入力'!O16="","",'2_入力'!O16)</f>
        <v/>
      </c>
      <c r="C35" s="708"/>
      <c r="D35" s="708"/>
      <c r="E35" s="708"/>
      <c r="F35" s="708"/>
      <c r="G35" s="708"/>
      <c r="H35" s="708"/>
      <c r="I35" s="708"/>
      <c r="J35" s="708"/>
      <c r="K35" s="661"/>
      <c r="L35" s="704" t="str">
        <f>'2_入力'!AE16</f>
        <v/>
      </c>
      <c r="M35" s="704"/>
      <c r="N35" s="704"/>
      <c r="O35" s="704"/>
      <c r="P35" s="704"/>
      <c r="Q35" s="704" t="str">
        <f>'2_入力'!AF16&amp;'2_入力'!AG16</f>
        <v/>
      </c>
      <c r="R35" s="704"/>
      <c r="S35" s="704"/>
    </row>
    <row r="36" spans="1:19" ht="18" customHeight="1">
      <c r="A36" s="701"/>
      <c r="B36" s="708"/>
      <c r="C36" s="708"/>
      <c r="D36" s="708"/>
      <c r="E36" s="708"/>
      <c r="F36" s="708"/>
      <c r="G36" s="708"/>
      <c r="H36" s="708"/>
      <c r="I36" s="708"/>
      <c r="J36" s="708"/>
      <c r="K36" s="661"/>
      <c r="L36" s="705" t="s">
        <v>641</v>
      </c>
      <c r="M36" s="705"/>
      <c r="N36" s="705"/>
      <c r="O36" s="707" t="str">
        <f>IF('2_入力'!Z16=0,"",'2_入力'!Z16)</f>
        <v/>
      </c>
      <c r="P36" s="707"/>
      <c r="Q36" s="706" t="s">
        <v>641</v>
      </c>
      <c r="R36" s="706"/>
      <c r="S36" s="680" t="str">
        <f>IF('2_入力'!AC16=0,"",'2_入力'!AC16)</f>
        <v/>
      </c>
    </row>
    <row r="37" spans="1:19" ht="11.25" customHeight="1">
      <c r="A37" s="661"/>
      <c r="B37" s="661"/>
      <c r="C37" s="661"/>
      <c r="D37" s="661"/>
      <c r="E37" s="661"/>
      <c r="F37" s="661"/>
      <c r="G37" s="661"/>
      <c r="H37" s="661"/>
      <c r="I37" s="661"/>
      <c r="J37" s="661"/>
      <c r="K37" s="661"/>
      <c r="L37" s="661"/>
      <c r="M37" s="661"/>
    </row>
    <row r="38" spans="1:19">
      <c r="A38" s="696" t="s">
        <v>798</v>
      </c>
      <c r="B38" s="696"/>
      <c r="C38" s="696"/>
      <c r="D38" s="696"/>
      <c r="E38" s="696"/>
      <c r="F38" s="696"/>
      <c r="G38" s="696"/>
      <c r="H38" s="696"/>
      <c r="I38" s="696"/>
      <c r="J38" s="696"/>
      <c r="K38" s="696"/>
      <c r="L38" s="696"/>
      <c r="M38" s="696"/>
      <c r="N38" s="697"/>
      <c r="O38" s="697"/>
      <c r="P38" s="697"/>
      <c r="Q38" s="697"/>
      <c r="R38" s="697"/>
      <c r="S38" s="697"/>
    </row>
    <row r="39" spans="1:19">
      <c r="A39" s="693" t="s">
        <v>797</v>
      </c>
      <c r="B39" s="714" t="s">
        <v>804</v>
      </c>
      <c r="C39" s="714"/>
      <c r="D39" s="714"/>
      <c r="E39" s="714"/>
      <c r="F39" s="714"/>
      <c r="G39" s="692"/>
      <c r="H39" s="692"/>
      <c r="I39" s="713" t="s">
        <v>799</v>
      </c>
      <c r="J39" s="713"/>
      <c r="K39" s="713"/>
      <c r="L39" s="713"/>
      <c r="M39" s="709" t="s">
        <v>801</v>
      </c>
      <c r="N39" s="709"/>
      <c r="O39" s="709"/>
      <c r="P39" s="709"/>
      <c r="Q39" s="709"/>
      <c r="R39" s="709"/>
      <c r="S39" s="709"/>
    </row>
    <row r="40" spans="1:19">
      <c r="A40" s="693" t="s">
        <v>795</v>
      </c>
      <c r="B40" s="709" t="s">
        <v>805</v>
      </c>
      <c r="C40" s="709"/>
      <c r="D40" s="709"/>
      <c r="E40" s="709"/>
      <c r="F40" s="709"/>
      <c r="G40" s="692"/>
      <c r="H40" s="692"/>
      <c r="I40" s="713" t="s">
        <v>795</v>
      </c>
      <c r="J40" s="713"/>
      <c r="K40" s="713"/>
      <c r="L40" s="713"/>
      <c r="M40" s="709" t="s">
        <v>800</v>
      </c>
      <c r="N40" s="709"/>
      <c r="O40" s="709"/>
      <c r="P40" s="709"/>
      <c r="Q40" s="709"/>
      <c r="R40" s="709"/>
      <c r="S40" s="709"/>
    </row>
    <row r="41" spans="1:19">
      <c r="A41" s="693" t="s">
        <v>796</v>
      </c>
      <c r="B41" s="709" t="s">
        <v>806</v>
      </c>
      <c r="C41" s="709"/>
      <c r="D41" s="709"/>
      <c r="E41" s="709"/>
      <c r="F41" s="709"/>
      <c r="G41" s="692"/>
      <c r="H41" s="692"/>
      <c r="I41" s="713" t="s">
        <v>796</v>
      </c>
      <c r="J41" s="713"/>
      <c r="K41" s="713"/>
      <c r="L41" s="713"/>
      <c r="M41" s="709" t="s">
        <v>802</v>
      </c>
      <c r="N41" s="709"/>
      <c r="O41" s="709"/>
      <c r="P41" s="709"/>
      <c r="Q41" s="709"/>
      <c r="R41" s="709"/>
      <c r="S41" s="709"/>
    </row>
    <row r="42" spans="1:19">
      <c r="A42" s="692"/>
      <c r="B42" s="692"/>
      <c r="C42" s="692"/>
      <c r="D42" s="692"/>
      <c r="E42" s="692"/>
      <c r="F42" s="692"/>
      <c r="G42" s="692"/>
      <c r="H42" s="692"/>
      <c r="I42" s="692"/>
      <c r="J42" s="692"/>
      <c r="K42" s="692"/>
      <c r="L42" s="692"/>
      <c r="M42" s="692"/>
    </row>
    <row r="43" spans="1:19">
      <c r="A43" s="661"/>
      <c r="B43" s="661"/>
      <c r="C43" s="661"/>
      <c r="D43" s="661"/>
      <c r="E43" s="661"/>
      <c r="F43" s="661"/>
      <c r="G43" s="661"/>
      <c r="H43" s="661"/>
      <c r="I43" s="661"/>
      <c r="J43" s="661"/>
      <c r="K43" s="661"/>
      <c r="L43" s="661"/>
      <c r="M43" s="661"/>
    </row>
    <row r="44" spans="1:19" ht="15" customHeight="1">
      <c r="A44" s="661"/>
      <c r="B44" s="661"/>
      <c r="C44" s="661"/>
      <c r="D44" s="661"/>
      <c r="E44" s="661"/>
      <c r="F44" s="661"/>
      <c r="G44" s="661"/>
      <c r="H44" s="661"/>
      <c r="I44" s="661"/>
      <c r="J44" s="661"/>
      <c r="K44" s="661"/>
      <c r="L44" s="661"/>
      <c r="M44" s="661"/>
    </row>
    <row r="46" spans="1:19" ht="53.25" customHeight="1">
      <c r="A46" s="661"/>
      <c r="B46" s="661"/>
      <c r="C46" s="661"/>
      <c r="D46" s="661"/>
      <c r="E46" s="661"/>
      <c r="F46" s="661"/>
      <c r="G46" s="661"/>
      <c r="H46" s="661"/>
      <c r="I46" s="661"/>
      <c r="J46" s="661"/>
      <c r="K46" s="661"/>
      <c r="L46" s="661"/>
      <c r="M46" s="661"/>
    </row>
    <row r="47" spans="1:19" ht="4.5" customHeight="1">
      <c r="A47" s="661"/>
      <c r="B47" s="661"/>
      <c r="C47" s="661"/>
      <c r="D47" s="661"/>
      <c r="E47" s="661"/>
      <c r="F47" s="661"/>
      <c r="G47" s="661"/>
      <c r="H47" s="661"/>
      <c r="I47" s="661"/>
      <c r="J47" s="661"/>
      <c r="K47" s="661"/>
      <c r="L47" s="661"/>
      <c r="M47" s="661"/>
    </row>
    <row r="48" spans="1:19" ht="4.5" customHeight="1">
      <c r="A48" s="661"/>
      <c r="B48" s="661"/>
      <c r="C48" s="661"/>
      <c r="D48" s="661"/>
      <c r="E48" s="661"/>
      <c r="F48" s="661"/>
      <c r="G48" s="661"/>
      <c r="H48" s="661"/>
      <c r="I48" s="661"/>
      <c r="J48" s="661"/>
      <c r="K48" s="661"/>
      <c r="L48" s="661"/>
      <c r="M48" s="661"/>
    </row>
    <row r="49" spans="1:27" ht="24.75" customHeight="1">
      <c r="A49" s="661"/>
      <c r="B49" s="661"/>
      <c r="C49" s="661"/>
      <c r="D49" s="661"/>
      <c r="E49" s="661"/>
      <c r="F49" s="661"/>
      <c r="G49" s="661"/>
      <c r="H49" s="661"/>
      <c r="I49" s="661"/>
      <c r="J49" s="661"/>
      <c r="K49" s="661"/>
      <c r="L49" s="661"/>
      <c r="M49" s="661"/>
    </row>
    <row r="50" spans="1:27">
      <c r="A50" s="661"/>
      <c r="B50" s="661"/>
      <c r="C50" s="661"/>
      <c r="D50" s="661"/>
      <c r="E50" s="661"/>
      <c r="F50" s="661"/>
      <c r="G50" s="661"/>
      <c r="H50" s="661"/>
      <c r="I50" s="661"/>
      <c r="J50" s="661"/>
      <c r="K50" s="661"/>
      <c r="L50" s="661"/>
      <c r="M50" s="661"/>
    </row>
    <row r="51" spans="1:27" ht="18" customHeight="1">
      <c r="A51" s="701" t="s">
        <v>664</v>
      </c>
      <c r="B51" s="701" t="str">
        <f>IF('2_入力'!E17="","",'2_入力'!E17)</f>
        <v/>
      </c>
      <c r="C51" s="701"/>
      <c r="D51" s="701"/>
      <c r="E51" s="701"/>
      <c r="F51" s="701"/>
      <c r="G51" s="701"/>
      <c r="H51" s="701"/>
      <c r="I51" s="701"/>
      <c r="J51" s="701"/>
      <c r="K51" s="664"/>
      <c r="L51" s="661"/>
      <c r="M51" s="661"/>
    </row>
    <row r="52" spans="1:27" ht="18" customHeight="1">
      <c r="A52" s="701"/>
      <c r="B52" s="701"/>
      <c r="C52" s="701"/>
      <c r="D52" s="701"/>
      <c r="E52" s="701"/>
      <c r="F52" s="701"/>
      <c r="G52" s="701"/>
      <c r="H52" s="701"/>
      <c r="I52" s="701"/>
      <c r="J52" s="701"/>
      <c r="K52" s="664"/>
      <c r="L52" s="661"/>
      <c r="M52" s="661"/>
    </row>
    <row r="53" spans="1:27" ht="18" customHeight="1">
      <c r="A53" s="701" t="s">
        <v>686</v>
      </c>
      <c r="B53" s="703" t="str">
        <f>IF('2_入力'!G17="","",'2_入力'!G17)</f>
        <v/>
      </c>
      <c r="C53" s="702" t="s">
        <v>688</v>
      </c>
      <c r="D53" s="709"/>
      <c r="E53" s="709"/>
      <c r="F53" s="709"/>
      <c r="G53" s="709"/>
      <c r="H53" s="709"/>
      <c r="I53" s="709"/>
      <c r="J53" s="709"/>
      <c r="K53" s="664"/>
      <c r="L53" s="661"/>
      <c r="M53" s="661"/>
    </row>
    <row r="54" spans="1:27" ht="18" customHeight="1">
      <c r="A54" s="701"/>
      <c r="B54" s="703"/>
      <c r="C54" s="702"/>
      <c r="D54" s="709"/>
      <c r="E54" s="709"/>
      <c r="F54" s="709"/>
      <c r="G54" s="709"/>
      <c r="H54" s="709"/>
      <c r="I54" s="709"/>
      <c r="J54" s="709"/>
      <c r="K54" s="664"/>
      <c r="L54" s="661"/>
      <c r="M54" s="661"/>
    </row>
    <row r="55" spans="1:27" ht="18" customHeight="1">
      <c r="A55" s="701" t="s">
        <v>666</v>
      </c>
      <c r="B55" s="701" t="str">
        <f>IF('2_入力'!H17="","",'2_入力'!H17&amp;'2_入力'!I17)</f>
        <v/>
      </c>
      <c r="C55" s="701"/>
      <c r="D55" s="701"/>
      <c r="E55" s="701"/>
      <c r="F55" s="701"/>
      <c r="G55" s="701"/>
      <c r="H55" s="701"/>
      <c r="I55" s="701"/>
      <c r="J55" s="701"/>
      <c r="L55" s="661"/>
      <c r="M55" s="661"/>
      <c r="Y55" s="665"/>
      <c r="Z55" s="665"/>
      <c r="AA55" s="666"/>
    </row>
    <row r="56" spans="1:27" ht="18" customHeight="1">
      <c r="A56" s="701"/>
      <c r="B56" s="701"/>
      <c r="C56" s="701"/>
      <c r="D56" s="701"/>
      <c r="E56" s="701"/>
      <c r="F56" s="701"/>
      <c r="G56" s="701"/>
      <c r="H56" s="701"/>
      <c r="I56" s="701"/>
      <c r="J56" s="701"/>
      <c r="K56" s="667"/>
      <c r="L56" s="661"/>
      <c r="M56" s="661"/>
      <c r="V56" s="668"/>
      <c r="Y56" s="665"/>
      <c r="Z56" s="665"/>
      <c r="AA56" s="666"/>
    </row>
    <row r="57" spans="1:27" ht="18" customHeight="1">
      <c r="A57" s="701" t="s">
        <v>687</v>
      </c>
      <c r="B57" s="708" t="str">
        <f>IF('2_入力'!O17="","",'2_入力'!O17)</f>
        <v/>
      </c>
      <c r="C57" s="708"/>
      <c r="D57" s="708"/>
      <c r="E57" s="708"/>
      <c r="F57" s="708"/>
      <c r="G57" s="708"/>
      <c r="H57" s="708"/>
      <c r="I57" s="708"/>
      <c r="J57" s="708"/>
      <c r="L57" s="710" t="str">
        <f>'2_入力'!AE17</f>
        <v/>
      </c>
      <c r="M57" s="710"/>
      <c r="N57" s="710"/>
      <c r="O57" s="710"/>
      <c r="P57" s="710"/>
      <c r="Q57" s="711" t="str">
        <f>'2_入力'!AF17&amp;'2_入力'!AG17</f>
        <v/>
      </c>
      <c r="R57" s="711"/>
      <c r="S57" s="711"/>
      <c r="Y57" s="665"/>
      <c r="Z57" s="665"/>
      <c r="AA57" s="666"/>
    </row>
    <row r="58" spans="1:27" ht="18" customHeight="1">
      <c r="A58" s="701"/>
      <c r="B58" s="708"/>
      <c r="C58" s="708"/>
      <c r="D58" s="708"/>
      <c r="E58" s="708"/>
      <c r="F58" s="708"/>
      <c r="G58" s="708"/>
      <c r="H58" s="708"/>
      <c r="I58" s="708"/>
      <c r="J58" s="708"/>
      <c r="K58" s="669"/>
      <c r="L58" s="705" t="s">
        <v>641</v>
      </c>
      <c r="M58" s="705"/>
      <c r="N58" s="705"/>
      <c r="O58" s="712" t="str">
        <f>IF('2_入力'!Z17=0,"",'2_入力'!Z17)</f>
        <v/>
      </c>
      <c r="P58" s="712"/>
      <c r="Q58" s="706" t="s">
        <v>641</v>
      </c>
      <c r="R58" s="706"/>
      <c r="S58" s="670" t="str">
        <f>IF('2_入力'!AC17=0,"",'2_入力'!AC17)</f>
        <v/>
      </c>
      <c r="Y58" s="665"/>
      <c r="Z58" s="665"/>
      <c r="AA58" s="666"/>
    </row>
    <row r="59" spans="1:27" ht="24.75" customHeight="1">
      <c r="A59" s="661"/>
      <c r="B59" s="661"/>
      <c r="C59" s="661"/>
      <c r="D59" s="661"/>
      <c r="E59" s="661"/>
      <c r="F59" s="661"/>
      <c r="G59" s="661"/>
      <c r="H59" s="661"/>
      <c r="I59" s="661"/>
      <c r="J59" s="661"/>
      <c r="K59" s="661"/>
      <c r="L59" s="661"/>
      <c r="M59" s="661"/>
      <c r="Y59" s="665"/>
      <c r="Z59" s="665"/>
      <c r="AA59" s="666"/>
    </row>
    <row r="60" spans="1:27" ht="11.25" customHeight="1">
      <c r="A60" s="661"/>
      <c r="B60" s="661"/>
      <c r="C60" s="661"/>
      <c r="D60" s="661"/>
      <c r="E60" s="661"/>
      <c r="F60" s="661"/>
      <c r="G60" s="661"/>
      <c r="H60" s="661"/>
      <c r="I60" s="661"/>
      <c r="J60" s="661"/>
      <c r="K60" s="661"/>
      <c r="L60" s="661"/>
      <c r="M60" s="661"/>
      <c r="Y60" s="665"/>
      <c r="Z60" s="665"/>
      <c r="AA60" s="666"/>
    </row>
    <row r="61" spans="1:27" ht="36" customHeight="1">
      <c r="A61" s="671" t="s">
        <v>664</v>
      </c>
      <c r="B61" s="701" t="str">
        <f>IF('2_入力'!E18="","",'2_入力'!E18)</f>
        <v/>
      </c>
      <c r="C61" s="701"/>
      <c r="D61" s="701"/>
      <c r="E61" s="701"/>
      <c r="F61" s="701"/>
      <c r="G61" s="701"/>
      <c r="H61" s="701"/>
      <c r="I61" s="701"/>
      <c r="J61" s="701"/>
      <c r="K61" s="661"/>
      <c r="L61" s="661"/>
      <c r="M61" s="661"/>
      <c r="N61" s="672"/>
      <c r="O61" s="672"/>
      <c r="P61" s="673"/>
      <c r="Q61" s="673"/>
      <c r="R61" s="663"/>
      <c r="S61" s="674"/>
      <c r="Y61" s="665"/>
      <c r="Z61" s="665"/>
      <c r="AA61" s="666"/>
    </row>
    <row r="62" spans="1:27" ht="36" customHeight="1">
      <c r="A62" s="675" t="s">
        <v>686</v>
      </c>
      <c r="B62" s="676" t="str">
        <f>IF('2_入力'!G18="","",'2_入力'!G18)</f>
        <v/>
      </c>
      <c r="C62" s="677" t="s">
        <v>688</v>
      </c>
      <c r="D62" s="678"/>
      <c r="E62" s="661"/>
      <c r="F62" s="661"/>
      <c r="G62" s="661"/>
      <c r="H62" s="661"/>
      <c r="I62" s="661"/>
      <c r="J62" s="661"/>
      <c r="K62" s="661"/>
      <c r="L62" s="661"/>
      <c r="M62" s="661"/>
    </row>
    <row r="63" spans="1:27" ht="36" customHeight="1">
      <c r="A63" s="671" t="s">
        <v>666</v>
      </c>
      <c r="B63" s="701" t="str">
        <f>IF('2_入力'!H18="","",'2_入力'!H18&amp;'2_入力'!I18)</f>
        <v/>
      </c>
      <c r="C63" s="701"/>
      <c r="D63" s="701"/>
      <c r="E63" s="701"/>
      <c r="F63" s="701"/>
      <c r="G63" s="701"/>
      <c r="H63" s="701"/>
      <c r="I63" s="701"/>
      <c r="J63" s="701"/>
      <c r="K63" s="661"/>
      <c r="L63" s="661"/>
      <c r="M63" s="661"/>
      <c r="N63" s="679"/>
      <c r="O63" s="679"/>
      <c r="P63" s="679"/>
      <c r="Q63" s="679"/>
      <c r="R63" s="679"/>
      <c r="S63" s="679"/>
    </row>
    <row r="64" spans="1:27" ht="18" customHeight="1">
      <c r="A64" s="701" t="s">
        <v>687</v>
      </c>
      <c r="B64" s="708" t="str">
        <f>IF('2_入力'!O18="","",'2_入力'!O18)</f>
        <v/>
      </c>
      <c r="C64" s="708"/>
      <c r="D64" s="708"/>
      <c r="E64" s="708"/>
      <c r="F64" s="708"/>
      <c r="G64" s="708"/>
      <c r="H64" s="708"/>
      <c r="I64" s="708"/>
      <c r="J64" s="708"/>
      <c r="K64" s="661"/>
      <c r="L64" s="704" t="str">
        <f>'2_入力'!AE18</f>
        <v/>
      </c>
      <c r="M64" s="704"/>
      <c r="N64" s="704"/>
      <c r="O64" s="704"/>
      <c r="P64" s="704"/>
      <c r="Q64" s="704" t="str">
        <f>'2_入力'!AF18&amp;'2_入力'!AG18</f>
        <v/>
      </c>
      <c r="R64" s="704"/>
      <c r="S64" s="704"/>
    </row>
    <row r="65" spans="1:19" ht="18" customHeight="1">
      <c r="A65" s="701"/>
      <c r="B65" s="708"/>
      <c r="C65" s="708"/>
      <c r="D65" s="708"/>
      <c r="E65" s="708"/>
      <c r="F65" s="708"/>
      <c r="G65" s="708"/>
      <c r="H65" s="708"/>
      <c r="I65" s="708"/>
      <c r="J65" s="708"/>
      <c r="K65" s="661"/>
      <c r="L65" s="705" t="s">
        <v>641</v>
      </c>
      <c r="M65" s="705"/>
      <c r="N65" s="705"/>
      <c r="O65" s="707" t="str">
        <f>IF('2_入力'!Z18=0,"",'2_入力'!Z18)</f>
        <v/>
      </c>
      <c r="P65" s="707"/>
      <c r="Q65" s="706" t="s">
        <v>641</v>
      </c>
      <c r="R65" s="706"/>
      <c r="S65" s="680" t="str">
        <f>IF('2_入力'!AC18=0,"",'2_入力'!AC18)</f>
        <v/>
      </c>
    </row>
    <row r="66" spans="1:19" ht="24.75" customHeight="1">
      <c r="A66" s="661"/>
      <c r="B66" s="661"/>
      <c r="C66" s="661"/>
      <c r="D66" s="661"/>
      <c r="E66" s="661"/>
      <c r="F66" s="661"/>
      <c r="G66" s="661"/>
      <c r="H66" s="661"/>
      <c r="I66" s="661"/>
      <c r="J66" s="661"/>
      <c r="K66" s="661"/>
      <c r="L66" s="661"/>
      <c r="M66" s="661"/>
      <c r="N66" s="679"/>
      <c r="O66" s="679"/>
      <c r="P66" s="679"/>
      <c r="Q66" s="679"/>
      <c r="R66" s="679"/>
      <c r="S66" s="679"/>
    </row>
    <row r="67" spans="1:19" ht="11.25" customHeight="1">
      <c r="A67" s="661"/>
      <c r="B67" s="661"/>
      <c r="C67" s="661"/>
      <c r="D67" s="661"/>
      <c r="E67" s="661"/>
      <c r="F67" s="661"/>
      <c r="G67" s="661"/>
      <c r="H67" s="661"/>
      <c r="I67" s="661"/>
      <c r="J67" s="661"/>
      <c r="K67" s="661"/>
      <c r="L67" s="661"/>
      <c r="M67" s="661"/>
    </row>
    <row r="68" spans="1:19" ht="36" customHeight="1">
      <c r="A68" s="671" t="s">
        <v>664</v>
      </c>
      <c r="B68" s="701" t="str">
        <f>IF('2_入力'!E19="","",'2_入力'!E19)</f>
        <v/>
      </c>
      <c r="C68" s="701"/>
      <c r="D68" s="701"/>
      <c r="E68" s="701"/>
      <c r="F68" s="701"/>
      <c r="G68" s="701"/>
      <c r="H68" s="701"/>
      <c r="I68" s="701"/>
      <c r="J68" s="701"/>
      <c r="K68" s="661"/>
      <c r="L68" s="661"/>
      <c r="M68" s="661"/>
    </row>
    <row r="69" spans="1:19" ht="36" customHeight="1">
      <c r="A69" s="675" t="s">
        <v>686</v>
      </c>
      <c r="B69" s="676" t="str">
        <f>IF('2_入力'!G19="","",'2_入力'!G19)</f>
        <v/>
      </c>
      <c r="C69" s="677" t="s">
        <v>688</v>
      </c>
      <c r="D69" s="661"/>
      <c r="E69" s="661"/>
      <c r="F69" s="661"/>
      <c r="G69" s="661"/>
      <c r="H69" s="661"/>
      <c r="I69" s="661"/>
      <c r="J69" s="661"/>
      <c r="K69" s="661"/>
      <c r="L69" s="661"/>
      <c r="M69" s="661"/>
      <c r="O69" s="681"/>
      <c r="P69" s="681"/>
      <c r="Q69" s="682"/>
      <c r="R69" s="682"/>
      <c r="S69" s="683"/>
    </row>
    <row r="70" spans="1:19" ht="36" customHeight="1">
      <c r="A70" s="671" t="s">
        <v>666</v>
      </c>
      <c r="B70" s="701" t="str">
        <f>IF('2_入力'!H19="","",'2_入力'!H19&amp;'2_入力'!I19)</f>
        <v/>
      </c>
      <c r="C70" s="701"/>
      <c r="D70" s="701"/>
      <c r="E70" s="701"/>
      <c r="F70" s="701"/>
      <c r="G70" s="701"/>
      <c r="H70" s="701"/>
      <c r="I70" s="701"/>
      <c r="J70" s="701"/>
      <c r="K70" s="661"/>
      <c r="L70" s="661"/>
      <c r="M70" s="661"/>
      <c r="Q70" s="684"/>
      <c r="R70" s="685"/>
      <c r="S70" s="685"/>
    </row>
    <row r="71" spans="1:19" ht="18" customHeight="1">
      <c r="A71" s="701" t="s">
        <v>687</v>
      </c>
      <c r="B71" s="708" t="str">
        <f>IF('2_入力'!O19="","",'2_入力'!O19)</f>
        <v/>
      </c>
      <c r="C71" s="708"/>
      <c r="D71" s="708"/>
      <c r="E71" s="708"/>
      <c r="F71" s="708"/>
      <c r="G71" s="708"/>
      <c r="H71" s="708"/>
      <c r="I71" s="708"/>
      <c r="J71" s="708"/>
      <c r="K71" s="661"/>
      <c r="L71" s="704" t="str">
        <f>'2_入力'!AE19</f>
        <v/>
      </c>
      <c r="M71" s="704"/>
      <c r="N71" s="704"/>
      <c r="O71" s="704"/>
      <c r="P71" s="704"/>
      <c r="Q71" s="704" t="str">
        <f>'2_入力'!AF19&amp;'2_入力'!AG19</f>
        <v/>
      </c>
      <c r="R71" s="704"/>
      <c r="S71" s="704"/>
    </row>
    <row r="72" spans="1:19" ht="18" customHeight="1">
      <c r="A72" s="701"/>
      <c r="B72" s="708"/>
      <c r="C72" s="708"/>
      <c r="D72" s="708"/>
      <c r="E72" s="708"/>
      <c r="F72" s="708"/>
      <c r="G72" s="708"/>
      <c r="H72" s="708"/>
      <c r="I72" s="708"/>
      <c r="J72" s="708"/>
      <c r="K72" s="661"/>
      <c r="L72" s="705" t="s">
        <v>641</v>
      </c>
      <c r="M72" s="705"/>
      <c r="N72" s="705"/>
      <c r="O72" s="707" t="str">
        <f>IF('2_入力'!Z19=0,"",'2_入力'!Z19)</f>
        <v/>
      </c>
      <c r="P72" s="707"/>
      <c r="Q72" s="706" t="s">
        <v>641</v>
      </c>
      <c r="R72" s="706"/>
      <c r="S72" s="680" t="str">
        <f>IF('2_入力'!AC19=0,"",'2_入力'!AC19)</f>
        <v/>
      </c>
    </row>
    <row r="73" spans="1:19" ht="24.75" customHeight="1">
      <c r="A73" s="661"/>
      <c r="B73" s="661"/>
      <c r="C73" s="661"/>
      <c r="D73" s="661"/>
      <c r="E73" s="661"/>
      <c r="F73" s="661"/>
      <c r="G73" s="661"/>
      <c r="H73" s="661"/>
      <c r="I73" s="661"/>
      <c r="J73" s="661"/>
      <c r="K73" s="661"/>
      <c r="L73" s="661"/>
      <c r="M73" s="664"/>
      <c r="N73" s="664"/>
      <c r="O73" s="686"/>
      <c r="P73" s="686"/>
      <c r="Q73" s="687"/>
      <c r="R73" s="687"/>
      <c r="S73" s="686"/>
    </row>
    <row r="74" spans="1:19" ht="11.25" customHeight="1">
      <c r="A74" s="661"/>
      <c r="B74" s="661"/>
      <c r="C74" s="661"/>
      <c r="D74" s="661"/>
      <c r="E74" s="661"/>
      <c r="F74" s="661"/>
      <c r="G74" s="661"/>
      <c r="H74" s="661"/>
      <c r="I74" s="661"/>
      <c r="J74" s="661"/>
      <c r="K74" s="661"/>
      <c r="L74" s="661"/>
      <c r="M74" s="688"/>
      <c r="N74" s="688"/>
      <c r="Q74" s="684"/>
      <c r="R74" s="689"/>
      <c r="S74" s="689"/>
    </row>
    <row r="75" spans="1:19" ht="36" customHeight="1">
      <c r="A75" s="671" t="s">
        <v>664</v>
      </c>
      <c r="B75" s="701" t="str">
        <f>IF('2_入力'!E20="","",'2_入力'!E20)</f>
        <v/>
      </c>
      <c r="C75" s="701"/>
      <c r="D75" s="701"/>
      <c r="E75" s="701"/>
      <c r="F75" s="701"/>
      <c r="G75" s="701"/>
      <c r="H75" s="701"/>
      <c r="I75" s="701"/>
      <c r="J75" s="701"/>
      <c r="K75" s="661"/>
      <c r="L75" s="661"/>
      <c r="M75" s="669"/>
      <c r="N75" s="669"/>
      <c r="O75" s="690"/>
      <c r="P75" s="690"/>
      <c r="Q75" s="691"/>
      <c r="R75" s="691"/>
      <c r="S75" s="668"/>
    </row>
    <row r="76" spans="1:19" ht="36" customHeight="1">
      <c r="A76" s="675" t="s">
        <v>686</v>
      </c>
      <c r="B76" s="676" t="str">
        <f>IF('2_入力'!G20="","",'2_入力'!G20)</f>
        <v/>
      </c>
      <c r="C76" s="677" t="s">
        <v>688</v>
      </c>
      <c r="D76" s="661"/>
      <c r="E76" s="661"/>
      <c r="F76" s="661"/>
      <c r="G76" s="661"/>
      <c r="H76" s="661"/>
      <c r="I76" s="661"/>
      <c r="J76" s="661"/>
      <c r="K76" s="661"/>
      <c r="L76" s="661"/>
      <c r="M76" s="688"/>
      <c r="N76" s="688"/>
      <c r="Q76" s="684"/>
      <c r="R76" s="685"/>
      <c r="S76" s="685"/>
    </row>
    <row r="77" spans="1:19" ht="36" customHeight="1">
      <c r="A77" s="671" t="s">
        <v>666</v>
      </c>
      <c r="B77" s="701" t="str">
        <f>IF('2_入力'!H20="","",'2_入力'!H20&amp;'2_入力'!I20)</f>
        <v/>
      </c>
      <c r="C77" s="701"/>
      <c r="D77" s="701"/>
      <c r="E77" s="701"/>
      <c r="F77" s="701"/>
      <c r="G77" s="701"/>
      <c r="H77" s="701"/>
      <c r="I77" s="701"/>
      <c r="J77" s="701"/>
      <c r="K77" s="661"/>
      <c r="L77" s="661"/>
      <c r="M77" s="661"/>
    </row>
    <row r="78" spans="1:19" ht="18" customHeight="1">
      <c r="A78" s="701" t="s">
        <v>687</v>
      </c>
      <c r="B78" s="708" t="str">
        <f>IF('2_入力'!O20="","",'2_入力'!O20)</f>
        <v/>
      </c>
      <c r="C78" s="708"/>
      <c r="D78" s="708"/>
      <c r="E78" s="708"/>
      <c r="F78" s="708"/>
      <c r="G78" s="708"/>
      <c r="H78" s="708"/>
      <c r="I78" s="708"/>
      <c r="J78" s="708"/>
      <c r="K78" s="661"/>
      <c r="L78" s="704" t="str">
        <f>'2_入力'!AE20</f>
        <v/>
      </c>
      <c r="M78" s="704"/>
      <c r="N78" s="704"/>
      <c r="O78" s="704"/>
      <c r="P78" s="704"/>
      <c r="Q78" s="704" t="str">
        <f>'2_入力'!AF20&amp;'2_入力'!AG20</f>
        <v/>
      </c>
      <c r="R78" s="704"/>
      <c r="S78" s="704"/>
    </row>
    <row r="79" spans="1:19" ht="18" customHeight="1">
      <c r="A79" s="701"/>
      <c r="B79" s="708"/>
      <c r="C79" s="708"/>
      <c r="D79" s="708"/>
      <c r="E79" s="708"/>
      <c r="F79" s="708"/>
      <c r="G79" s="708"/>
      <c r="H79" s="708"/>
      <c r="I79" s="708"/>
      <c r="J79" s="708"/>
      <c r="K79" s="661"/>
      <c r="L79" s="705" t="s">
        <v>641</v>
      </c>
      <c r="M79" s="705"/>
      <c r="N79" s="705"/>
      <c r="O79" s="707" t="str">
        <f>IF('2_入力'!Z20=0,"",'2_入力'!Z20)</f>
        <v/>
      </c>
      <c r="P79" s="707"/>
      <c r="Q79" s="706" t="s">
        <v>641</v>
      </c>
      <c r="R79" s="706"/>
      <c r="S79" s="680" t="str">
        <f>IF('2_入力'!AC20=0,"",'2_入力'!AC20)</f>
        <v/>
      </c>
    </row>
    <row r="80" spans="1:19" ht="9.75" customHeight="1">
      <c r="A80" s="698"/>
      <c r="B80" s="698"/>
      <c r="C80" s="698"/>
      <c r="D80" s="698"/>
      <c r="E80" s="698"/>
      <c r="F80" s="698"/>
      <c r="G80" s="698"/>
      <c r="H80" s="698"/>
      <c r="I80" s="698"/>
      <c r="J80" s="698"/>
      <c r="K80" s="698"/>
      <c r="L80" s="698"/>
      <c r="M80" s="698"/>
      <c r="N80" s="699"/>
      <c r="O80" s="699"/>
      <c r="P80" s="699"/>
      <c r="Q80" s="699"/>
      <c r="R80" s="699"/>
      <c r="S80" s="699"/>
    </row>
    <row r="81" spans="1:19">
      <c r="A81" s="692" t="s">
        <v>798</v>
      </c>
      <c r="B81" s="692"/>
      <c r="C81" s="692"/>
      <c r="D81" s="692"/>
      <c r="E81" s="692"/>
      <c r="F81" s="692"/>
      <c r="G81" s="692"/>
      <c r="H81" s="692"/>
      <c r="I81" s="692"/>
      <c r="J81" s="692"/>
      <c r="K81" s="692"/>
      <c r="L81" s="692"/>
      <c r="M81" s="692"/>
    </row>
    <row r="82" spans="1:19">
      <c r="A82" s="693" t="s">
        <v>797</v>
      </c>
      <c r="B82" s="714" t="s">
        <v>804</v>
      </c>
      <c r="C82" s="714"/>
      <c r="D82" s="714"/>
      <c r="E82" s="714"/>
      <c r="F82" s="714"/>
      <c r="G82" s="692"/>
      <c r="H82" s="692"/>
      <c r="I82" s="713" t="s">
        <v>799</v>
      </c>
      <c r="J82" s="713"/>
      <c r="K82" s="713"/>
      <c r="L82" s="713"/>
      <c r="M82" s="709" t="s">
        <v>801</v>
      </c>
      <c r="N82" s="709"/>
      <c r="O82" s="709"/>
      <c r="P82" s="709"/>
      <c r="Q82" s="709"/>
      <c r="R82" s="709"/>
      <c r="S82" s="709"/>
    </row>
    <row r="83" spans="1:19" ht="11.25" customHeight="1">
      <c r="A83" s="693" t="s">
        <v>795</v>
      </c>
      <c r="B83" s="709" t="s">
        <v>805</v>
      </c>
      <c r="C83" s="709"/>
      <c r="D83" s="709"/>
      <c r="E83" s="709"/>
      <c r="F83" s="709"/>
      <c r="G83" s="692"/>
      <c r="H83" s="692"/>
      <c r="I83" s="713" t="s">
        <v>795</v>
      </c>
      <c r="J83" s="713"/>
      <c r="K83" s="713"/>
      <c r="L83" s="713"/>
      <c r="M83" s="709" t="s">
        <v>800</v>
      </c>
      <c r="N83" s="709"/>
      <c r="O83" s="709"/>
      <c r="P83" s="709"/>
      <c r="Q83" s="709"/>
      <c r="R83" s="709"/>
      <c r="S83" s="709"/>
    </row>
    <row r="84" spans="1:19" ht="11.25" customHeight="1">
      <c r="A84" s="693" t="s">
        <v>796</v>
      </c>
      <c r="B84" s="709" t="s">
        <v>806</v>
      </c>
      <c r="C84" s="709"/>
      <c r="D84" s="709"/>
      <c r="E84" s="709"/>
      <c r="F84" s="709"/>
      <c r="G84" s="692"/>
      <c r="H84" s="692"/>
      <c r="I84" s="713" t="s">
        <v>796</v>
      </c>
      <c r="J84" s="713"/>
      <c r="K84" s="713"/>
      <c r="L84" s="713"/>
      <c r="M84" s="709" t="s">
        <v>802</v>
      </c>
      <c r="N84" s="709"/>
      <c r="O84" s="709"/>
      <c r="P84" s="709"/>
      <c r="Q84" s="709"/>
      <c r="R84" s="709"/>
      <c r="S84" s="709"/>
    </row>
    <row r="85" spans="1:19">
      <c r="A85" s="692"/>
      <c r="B85" s="692"/>
      <c r="C85" s="692"/>
      <c r="D85" s="692"/>
      <c r="E85" s="692"/>
      <c r="F85" s="692"/>
      <c r="G85" s="692"/>
      <c r="H85" s="692"/>
      <c r="I85" s="692"/>
      <c r="J85" s="692"/>
      <c r="K85" s="692"/>
      <c r="L85" s="692"/>
      <c r="M85" s="692"/>
    </row>
    <row r="86" spans="1:19">
      <c r="A86" s="661"/>
      <c r="B86" s="661"/>
      <c r="C86" s="661"/>
      <c r="D86" s="661"/>
      <c r="E86" s="661"/>
      <c r="F86" s="661"/>
      <c r="G86" s="661"/>
      <c r="H86" s="661"/>
      <c r="I86" s="661"/>
      <c r="J86" s="661"/>
      <c r="K86" s="661"/>
      <c r="L86" s="661"/>
      <c r="M86" s="661"/>
    </row>
    <row r="87" spans="1:19" ht="15" customHeight="1">
      <c r="A87" s="661"/>
      <c r="B87" s="661"/>
      <c r="C87" s="661"/>
      <c r="D87" s="661"/>
      <c r="E87" s="661"/>
      <c r="F87" s="661"/>
      <c r="G87" s="661"/>
      <c r="H87" s="661"/>
      <c r="I87" s="661"/>
      <c r="J87" s="661"/>
      <c r="K87" s="661"/>
      <c r="L87" s="661"/>
      <c r="M87" s="661"/>
    </row>
    <row r="88" spans="1:19" ht="53.25" customHeight="1">
      <c r="A88" s="661"/>
      <c r="B88" s="661"/>
      <c r="C88" s="661"/>
      <c r="D88" s="661"/>
      <c r="E88" s="661"/>
      <c r="F88" s="661"/>
      <c r="G88" s="661"/>
      <c r="H88" s="661"/>
      <c r="I88" s="661"/>
      <c r="J88" s="661"/>
      <c r="K88" s="661"/>
      <c r="L88" s="661"/>
      <c r="M88" s="661"/>
    </row>
    <row r="89" spans="1:19" ht="4.5" customHeight="1">
      <c r="A89" s="661"/>
      <c r="B89" s="661"/>
      <c r="C89" s="661"/>
      <c r="D89" s="661"/>
      <c r="E89" s="661"/>
      <c r="F89" s="661"/>
      <c r="G89" s="661"/>
      <c r="H89" s="661"/>
      <c r="I89" s="661"/>
      <c r="J89" s="661"/>
      <c r="K89" s="661"/>
      <c r="L89" s="661"/>
      <c r="M89" s="661"/>
    </row>
    <row r="90" spans="1:19" ht="4.5" customHeight="1">
      <c r="A90" s="661"/>
      <c r="B90" s="661"/>
      <c r="C90" s="661"/>
      <c r="D90" s="661"/>
      <c r="E90" s="661"/>
      <c r="F90" s="661"/>
      <c r="G90" s="661"/>
      <c r="H90" s="661"/>
      <c r="I90" s="661"/>
      <c r="J90" s="661"/>
      <c r="K90" s="661"/>
      <c r="L90" s="661"/>
      <c r="M90" s="661"/>
    </row>
    <row r="91" spans="1:19" ht="24.75" customHeight="1">
      <c r="A91" s="661"/>
      <c r="B91" s="661"/>
      <c r="C91" s="661"/>
      <c r="D91" s="661"/>
      <c r="E91" s="661"/>
      <c r="F91" s="661"/>
      <c r="G91" s="661"/>
      <c r="H91" s="661"/>
      <c r="I91" s="661"/>
      <c r="J91" s="661"/>
      <c r="K91" s="661"/>
      <c r="L91" s="661"/>
      <c r="M91" s="661"/>
    </row>
    <row r="92" spans="1:19">
      <c r="A92" s="661"/>
      <c r="B92" s="661"/>
      <c r="C92" s="661"/>
      <c r="D92" s="661"/>
      <c r="E92" s="661"/>
      <c r="F92" s="661"/>
      <c r="G92" s="661"/>
      <c r="H92" s="661"/>
      <c r="I92" s="661"/>
      <c r="J92" s="661"/>
      <c r="K92" s="661"/>
      <c r="L92" s="661"/>
      <c r="M92" s="661"/>
    </row>
    <row r="93" spans="1:19" ht="18" customHeight="1">
      <c r="A93" s="701" t="s">
        <v>664</v>
      </c>
      <c r="B93" s="701" t="str">
        <f>IF('2_入力'!E21="","",'2_入力'!E21)</f>
        <v/>
      </c>
      <c r="C93" s="701"/>
      <c r="D93" s="701"/>
      <c r="E93" s="701"/>
      <c r="F93" s="701"/>
      <c r="G93" s="701"/>
      <c r="H93" s="701"/>
      <c r="I93" s="701"/>
      <c r="J93" s="701"/>
      <c r="K93" s="664"/>
      <c r="L93" s="661"/>
      <c r="M93" s="661"/>
    </row>
    <row r="94" spans="1:19" ht="18" customHeight="1">
      <c r="A94" s="701"/>
      <c r="B94" s="701"/>
      <c r="C94" s="701"/>
      <c r="D94" s="701"/>
      <c r="E94" s="701"/>
      <c r="F94" s="701"/>
      <c r="G94" s="701"/>
      <c r="H94" s="701"/>
      <c r="I94" s="701"/>
      <c r="J94" s="701"/>
      <c r="K94" s="664"/>
      <c r="L94" s="661"/>
      <c r="M94" s="661"/>
    </row>
    <row r="95" spans="1:19" ht="18" customHeight="1">
      <c r="A95" s="701" t="s">
        <v>686</v>
      </c>
      <c r="B95" s="703" t="str">
        <f>IF('2_入力'!G21="","",'2_入力'!G21)</f>
        <v/>
      </c>
      <c r="C95" s="702" t="s">
        <v>688</v>
      </c>
      <c r="D95" s="709"/>
      <c r="E95" s="709"/>
      <c r="F95" s="709"/>
      <c r="G95" s="709"/>
      <c r="H95" s="709"/>
      <c r="I95" s="709"/>
      <c r="J95" s="709"/>
      <c r="K95" s="664"/>
      <c r="L95" s="661"/>
      <c r="M95" s="661"/>
    </row>
    <row r="96" spans="1:19" ht="18" customHeight="1">
      <c r="A96" s="701"/>
      <c r="B96" s="703"/>
      <c r="C96" s="702"/>
      <c r="D96" s="709"/>
      <c r="E96" s="709"/>
      <c r="F96" s="709"/>
      <c r="G96" s="709"/>
      <c r="H96" s="709"/>
      <c r="I96" s="709"/>
      <c r="J96" s="709"/>
      <c r="K96" s="664"/>
      <c r="L96" s="661"/>
      <c r="M96" s="661"/>
    </row>
    <row r="97" spans="1:27" ht="18" customHeight="1">
      <c r="A97" s="701" t="s">
        <v>666</v>
      </c>
      <c r="B97" s="701" t="str">
        <f>IF('2_入力'!H21="","",'2_入力'!H21&amp;'2_入力'!I21)</f>
        <v/>
      </c>
      <c r="C97" s="701"/>
      <c r="D97" s="701"/>
      <c r="E97" s="701"/>
      <c r="F97" s="701"/>
      <c r="G97" s="701"/>
      <c r="H97" s="701"/>
      <c r="I97" s="701"/>
      <c r="J97" s="701"/>
      <c r="L97" s="661"/>
      <c r="M97" s="661"/>
      <c r="Y97" s="665"/>
      <c r="Z97" s="665"/>
      <c r="AA97" s="666"/>
    </row>
    <row r="98" spans="1:27" ht="18" customHeight="1">
      <c r="A98" s="701"/>
      <c r="B98" s="701"/>
      <c r="C98" s="701"/>
      <c r="D98" s="701"/>
      <c r="E98" s="701"/>
      <c r="F98" s="701"/>
      <c r="G98" s="701"/>
      <c r="H98" s="701"/>
      <c r="I98" s="701"/>
      <c r="J98" s="701"/>
      <c r="K98" s="667"/>
      <c r="L98" s="661"/>
      <c r="M98" s="661"/>
      <c r="V98" s="668"/>
      <c r="Y98" s="665"/>
      <c r="Z98" s="665"/>
      <c r="AA98" s="666"/>
    </row>
    <row r="99" spans="1:27" ht="18" customHeight="1">
      <c r="A99" s="701" t="s">
        <v>687</v>
      </c>
      <c r="B99" s="708" t="str">
        <f>IF('2_入力'!O21="","",'2_入力'!O21)</f>
        <v/>
      </c>
      <c r="C99" s="708"/>
      <c r="D99" s="708"/>
      <c r="E99" s="708"/>
      <c r="F99" s="708"/>
      <c r="G99" s="708"/>
      <c r="H99" s="708"/>
      <c r="I99" s="708"/>
      <c r="J99" s="708"/>
      <c r="L99" s="710" t="str">
        <f>'2_入力'!AE21</f>
        <v/>
      </c>
      <c r="M99" s="710"/>
      <c r="N99" s="710"/>
      <c r="O99" s="710"/>
      <c r="P99" s="710"/>
      <c r="Q99" s="711" t="str">
        <f>'2_入力'!AF21&amp;'2_入力'!AG21</f>
        <v/>
      </c>
      <c r="R99" s="711"/>
      <c r="S99" s="711"/>
      <c r="Y99" s="665"/>
      <c r="Z99" s="665"/>
      <c r="AA99" s="666"/>
    </row>
    <row r="100" spans="1:27" ht="18" customHeight="1">
      <c r="A100" s="701"/>
      <c r="B100" s="708"/>
      <c r="C100" s="708"/>
      <c r="D100" s="708"/>
      <c r="E100" s="708"/>
      <c r="F100" s="708"/>
      <c r="G100" s="708"/>
      <c r="H100" s="708"/>
      <c r="I100" s="708"/>
      <c r="J100" s="708"/>
      <c r="K100" s="669"/>
      <c r="L100" s="705" t="s">
        <v>641</v>
      </c>
      <c r="M100" s="705"/>
      <c r="N100" s="705"/>
      <c r="O100" s="712" t="str">
        <f>IF('2_入力'!Z21=0,"",'2_入力'!Z21)</f>
        <v/>
      </c>
      <c r="P100" s="712"/>
      <c r="Q100" s="706" t="s">
        <v>641</v>
      </c>
      <c r="R100" s="706"/>
      <c r="S100" s="670" t="str">
        <f>IF('2_入力'!AC21=0,"",'2_入力'!AC21)</f>
        <v/>
      </c>
      <c r="Y100" s="665"/>
      <c r="Z100" s="665"/>
      <c r="AA100" s="666"/>
    </row>
    <row r="101" spans="1:27" ht="24.75" customHeight="1">
      <c r="A101" s="661"/>
      <c r="B101" s="661"/>
      <c r="C101" s="661"/>
      <c r="D101" s="661"/>
      <c r="E101" s="661"/>
      <c r="F101" s="661"/>
      <c r="G101" s="661"/>
      <c r="H101" s="661"/>
      <c r="I101" s="661"/>
      <c r="J101" s="661"/>
      <c r="K101" s="661"/>
      <c r="L101" s="661"/>
      <c r="M101" s="661"/>
      <c r="Y101" s="665"/>
      <c r="Z101" s="665"/>
      <c r="AA101" s="666"/>
    </row>
    <row r="102" spans="1:27" ht="11.25" customHeight="1">
      <c r="A102" s="661"/>
      <c r="B102" s="661"/>
      <c r="C102" s="661"/>
      <c r="D102" s="661"/>
      <c r="E102" s="661"/>
      <c r="F102" s="661"/>
      <c r="G102" s="661"/>
      <c r="H102" s="661"/>
      <c r="I102" s="661"/>
      <c r="J102" s="661"/>
      <c r="K102" s="661"/>
      <c r="L102" s="661"/>
      <c r="M102" s="661"/>
      <c r="Y102" s="665"/>
      <c r="Z102" s="665"/>
      <c r="AA102" s="666"/>
    </row>
    <row r="103" spans="1:27" ht="36" customHeight="1">
      <c r="A103" s="671" t="s">
        <v>664</v>
      </c>
      <c r="B103" s="701" t="str">
        <f>IF('2_入力'!E22="","",'2_入力'!E22)</f>
        <v/>
      </c>
      <c r="C103" s="701"/>
      <c r="D103" s="701"/>
      <c r="E103" s="701"/>
      <c r="F103" s="701"/>
      <c r="G103" s="701"/>
      <c r="H103" s="701"/>
      <c r="I103" s="701"/>
      <c r="J103" s="701"/>
      <c r="K103" s="661"/>
      <c r="L103" s="661"/>
      <c r="M103" s="661"/>
      <c r="N103" s="672"/>
      <c r="O103" s="672"/>
      <c r="P103" s="673"/>
      <c r="Q103" s="673"/>
      <c r="R103" s="663"/>
      <c r="S103" s="674"/>
      <c r="Y103" s="665"/>
      <c r="Z103" s="665"/>
      <c r="AA103" s="666"/>
    </row>
    <row r="104" spans="1:27" ht="36" customHeight="1">
      <c r="A104" s="675" t="s">
        <v>686</v>
      </c>
      <c r="B104" s="676" t="str">
        <f>IF('2_入力'!G22="","",'2_入力'!G22)</f>
        <v/>
      </c>
      <c r="C104" s="677" t="s">
        <v>688</v>
      </c>
      <c r="D104" s="678"/>
      <c r="E104" s="661"/>
      <c r="F104" s="661"/>
      <c r="G104" s="661"/>
      <c r="H104" s="661"/>
      <c r="I104" s="661"/>
      <c r="J104" s="661"/>
      <c r="K104" s="661"/>
      <c r="L104" s="661"/>
      <c r="M104" s="661"/>
    </row>
    <row r="105" spans="1:27" ht="36" customHeight="1">
      <c r="A105" s="671" t="s">
        <v>666</v>
      </c>
      <c r="B105" s="701" t="str">
        <f>IF('2_入力'!H22="","",'2_入力'!H22&amp;'2_入力'!I22)</f>
        <v/>
      </c>
      <c r="C105" s="701"/>
      <c r="D105" s="701"/>
      <c r="E105" s="701"/>
      <c r="F105" s="701"/>
      <c r="G105" s="701"/>
      <c r="H105" s="701"/>
      <c r="I105" s="701"/>
      <c r="J105" s="701"/>
      <c r="K105" s="661"/>
      <c r="L105" s="661"/>
      <c r="M105" s="661"/>
      <c r="N105" s="679"/>
      <c r="O105" s="679"/>
      <c r="P105" s="679"/>
      <c r="Q105" s="679"/>
      <c r="R105" s="679"/>
      <c r="S105" s="679"/>
    </row>
    <row r="106" spans="1:27" ht="18" customHeight="1">
      <c r="A106" s="701" t="s">
        <v>687</v>
      </c>
      <c r="B106" s="708" t="str">
        <f>IF('2_入力'!O22="","",'2_入力'!O22)</f>
        <v/>
      </c>
      <c r="C106" s="708"/>
      <c r="D106" s="708"/>
      <c r="E106" s="708"/>
      <c r="F106" s="708"/>
      <c r="G106" s="708"/>
      <c r="H106" s="708"/>
      <c r="I106" s="708"/>
      <c r="J106" s="708"/>
      <c r="K106" s="661"/>
      <c r="L106" s="704" t="str">
        <f>'2_入力'!AE22</f>
        <v/>
      </c>
      <c r="M106" s="704"/>
      <c r="N106" s="704"/>
      <c r="O106" s="704"/>
      <c r="P106" s="704"/>
      <c r="Q106" s="704" t="str">
        <f>'2_入力'!AF22&amp;'2_入力'!AG22</f>
        <v/>
      </c>
      <c r="R106" s="704"/>
      <c r="S106" s="704"/>
    </row>
    <row r="107" spans="1:27" ht="18" customHeight="1">
      <c r="A107" s="701"/>
      <c r="B107" s="708"/>
      <c r="C107" s="708"/>
      <c r="D107" s="708"/>
      <c r="E107" s="708"/>
      <c r="F107" s="708"/>
      <c r="G107" s="708"/>
      <c r="H107" s="708"/>
      <c r="I107" s="708"/>
      <c r="J107" s="708"/>
      <c r="K107" s="661"/>
      <c r="L107" s="705" t="s">
        <v>641</v>
      </c>
      <c r="M107" s="705"/>
      <c r="N107" s="705"/>
      <c r="O107" s="707" t="str">
        <f>IF('2_入力'!Z22=0,"",'2_入力'!Z22)</f>
        <v/>
      </c>
      <c r="P107" s="707"/>
      <c r="Q107" s="706" t="s">
        <v>641</v>
      </c>
      <c r="R107" s="706"/>
      <c r="S107" s="680" t="str">
        <f>IF('2_入力'!AC22=0,"",'2_入力'!AC22)</f>
        <v/>
      </c>
    </row>
    <row r="108" spans="1:27" ht="24.75" customHeight="1">
      <c r="A108" s="661"/>
      <c r="B108" s="661"/>
      <c r="C108" s="661"/>
      <c r="D108" s="661"/>
      <c r="E108" s="661"/>
      <c r="F108" s="661"/>
      <c r="G108" s="661"/>
      <c r="H108" s="661"/>
      <c r="I108" s="661"/>
      <c r="J108" s="661"/>
      <c r="K108" s="661"/>
      <c r="L108" s="661"/>
      <c r="M108" s="661"/>
      <c r="N108" s="679"/>
      <c r="O108" s="679"/>
      <c r="P108" s="679"/>
      <c r="Q108" s="679"/>
      <c r="R108" s="679"/>
      <c r="S108" s="679"/>
    </row>
    <row r="109" spans="1:27" ht="11.25" customHeight="1">
      <c r="A109" s="661"/>
      <c r="B109" s="661"/>
      <c r="C109" s="661"/>
      <c r="D109" s="661"/>
      <c r="E109" s="661"/>
      <c r="F109" s="661"/>
      <c r="G109" s="661"/>
      <c r="H109" s="661"/>
      <c r="I109" s="661"/>
      <c r="J109" s="661"/>
      <c r="K109" s="661"/>
      <c r="L109" s="661"/>
      <c r="M109" s="661"/>
    </row>
    <row r="110" spans="1:27" ht="36" customHeight="1">
      <c r="A110" s="671" t="s">
        <v>664</v>
      </c>
      <c r="B110" s="701" t="str">
        <f>IF('2_入力'!E23="","",'2_入力'!E23)</f>
        <v/>
      </c>
      <c r="C110" s="701"/>
      <c r="D110" s="701"/>
      <c r="E110" s="701"/>
      <c r="F110" s="701"/>
      <c r="G110" s="701"/>
      <c r="H110" s="701"/>
      <c r="I110" s="701"/>
      <c r="J110" s="701"/>
      <c r="K110" s="661"/>
      <c r="L110" s="661"/>
      <c r="M110" s="661"/>
    </row>
    <row r="111" spans="1:27" ht="36" customHeight="1">
      <c r="A111" s="675" t="s">
        <v>686</v>
      </c>
      <c r="B111" s="676" t="str">
        <f>IF('2_入力'!G23="","",'2_入力'!G23)</f>
        <v/>
      </c>
      <c r="C111" s="677" t="s">
        <v>688</v>
      </c>
      <c r="D111" s="661"/>
      <c r="E111" s="661"/>
      <c r="F111" s="661"/>
      <c r="G111" s="661"/>
      <c r="H111" s="661"/>
      <c r="I111" s="661"/>
      <c r="J111" s="661"/>
      <c r="K111" s="661"/>
      <c r="L111" s="661"/>
      <c r="M111" s="661"/>
      <c r="O111" s="681"/>
      <c r="P111" s="681"/>
      <c r="Q111" s="682"/>
      <c r="R111" s="682"/>
      <c r="S111" s="683"/>
    </row>
    <row r="112" spans="1:27" ht="36" customHeight="1">
      <c r="A112" s="671" t="s">
        <v>666</v>
      </c>
      <c r="B112" s="701" t="str">
        <f>IF('2_入力'!H23="","",'2_入力'!H23&amp;'2_入力'!I23)</f>
        <v/>
      </c>
      <c r="C112" s="701"/>
      <c r="D112" s="701"/>
      <c r="E112" s="701"/>
      <c r="F112" s="701"/>
      <c r="G112" s="701"/>
      <c r="H112" s="701"/>
      <c r="I112" s="701"/>
      <c r="J112" s="701"/>
      <c r="K112" s="661"/>
      <c r="L112" s="661"/>
      <c r="M112" s="661"/>
      <c r="Q112" s="684"/>
      <c r="R112" s="685"/>
      <c r="S112" s="685"/>
    </row>
    <row r="113" spans="1:19" ht="18" customHeight="1">
      <c r="A113" s="701" t="s">
        <v>687</v>
      </c>
      <c r="B113" s="708" t="str">
        <f>IF('2_入力'!O23="","",'2_入力'!O23)</f>
        <v/>
      </c>
      <c r="C113" s="708"/>
      <c r="D113" s="708"/>
      <c r="E113" s="708"/>
      <c r="F113" s="708"/>
      <c r="G113" s="708"/>
      <c r="H113" s="708"/>
      <c r="I113" s="708"/>
      <c r="J113" s="708"/>
      <c r="K113" s="661"/>
      <c r="L113" s="704" t="str">
        <f>'2_入力'!AE23</f>
        <v/>
      </c>
      <c r="M113" s="704"/>
      <c r="N113" s="704"/>
      <c r="O113" s="704"/>
      <c r="P113" s="704"/>
      <c r="Q113" s="704" t="str">
        <f>'2_入力'!AF23&amp;'2_入力'!AG23</f>
        <v/>
      </c>
      <c r="R113" s="704"/>
      <c r="S113" s="704"/>
    </row>
    <row r="114" spans="1:19" ht="18" customHeight="1">
      <c r="A114" s="701"/>
      <c r="B114" s="708"/>
      <c r="C114" s="708"/>
      <c r="D114" s="708"/>
      <c r="E114" s="708"/>
      <c r="F114" s="708"/>
      <c r="G114" s="708"/>
      <c r="H114" s="708"/>
      <c r="I114" s="708"/>
      <c r="J114" s="708"/>
      <c r="K114" s="661"/>
      <c r="L114" s="705" t="s">
        <v>641</v>
      </c>
      <c r="M114" s="705"/>
      <c r="N114" s="705"/>
      <c r="O114" s="707" t="str">
        <f>IF('2_入力'!Z23=0,"",'2_入力'!Z23)</f>
        <v/>
      </c>
      <c r="P114" s="707"/>
      <c r="Q114" s="706" t="s">
        <v>641</v>
      </c>
      <c r="R114" s="706"/>
      <c r="S114" s="680" t="str">
        <f>IF('2_入力'!AC23=0,"",'2_入力'!AC23)</f>
        <v/>
      </c>
    </row>
    <row r="115" spans="1:19" ht="24.75" customHeight="1">
      <c r="A115" s="661"/>
      <c r="B115" s="661"/>
      <c r="C115" s="661"/>
      <c r="D115" s="661"/>
      <c r="E115" s="661"/>
      <c r="F115" s="661"/>
      <c r="G115" s="661"/>
      <c r="H115" s="661"/>
      <c r="I115" s="661"/>
      <c r="J115" s="661"/>
      <c r="K115" s="661"/>
      <c r="L115" s="661"/>
      <c r="M115" s="664"/>
      <c r="N115" s="664"/>
      <c r="O115" s="686"/>
      <c r="P115" s="686"/>
      <c r="Q115" s="687"/>
      <c r="R115" s="687"/>
      <c r="S115" s="686"/>
    </row>
    <row r="116" spans="1:19" ht="11.25" customHeight="1">
      <c r="A116" s="661"/>
      <c r="B116" s="661"/>
      <c r="C116" s="661"/>
      <c r="D116" s="661"/>
      <c r="E116" s="661"/>
      <c r="F116" s="661"/>
      <c r="G116" s="661"/>
      <c r="H116" s="661"/>
      <c r="I116" s="661"/>
      <c r="J116" s="661"/>
      <c r="K116" s="661"/>
      <c r="L116" s="661"/>
      <c r="M116" s="688"/>
      <c r="N116" s="688"/>
      <c r="Q116" s="684"/>
      <c r="R116" s="689"/>
      <c r="S116" s="689"/>
    </row>
    <row r="117" spans="1:19" ht="36" customHeight="1">
      <c r="A117" s="671" t="s">
        <v>664</v>
      </c>
      <c r="B117" s="701" t="str">
        <f>IF('2_入力'!E24="","",'2_入力'!E24)</f>
        <v/>
      </c>
      <c r="C117" s="701"/>
      <c r="D117" s="701"/>
      <c r="E117" s="701"/>
      <c r="F117" s="701"/>
      <c r="G117" s="701"/>
      <c r="H117" s="701"/>
      <c r="I117" s="701"/>
      <c r="J117" s="701"/>
      <c r="K117" s="661"/>
      <c r="L117" s="661"/>
      <c r="M117" s="669"/>
      <c r="N117" s="669"/>
      <c r="O117" s="690"/>
      <c r="P117" s="690"/>
      <c r="Q117" s="691"/>
      <c r="R117" s="691"/>
      <c r="S117" s="668"/>
    </row>
    <row r="118" spans="1:19" ht="36" customHeight="1">
      <c r="A118" s="675" t="s">
        <v>686</v>
      </c>
      <c r="B118" s="676" t="str">
        <f>IF('2_入力'!G24="","",'2_入力'!G24)</f>
        <v/>
      </c>
      <c r="C118" s="677" t="s">
        <v>688</v>
      </c>
      <c r="D118" s="661"/>
      <c r="E118" s="661"/>
      <c r="F118" s="661"/>
      <c r="G118" s="661"/>
      <c r="H118" s="661"/>
      <c r="I118" s="661"/>
      <c r="J118" s="661"/>
      <c r="K118" s="661"/>
      <c r="L118" s="661"/>
      <c r="M118" s="688"/>
      <c r="N118" s="688"/>
      <c r="Q118" s="684"/>
      <c r="R118" s="685"/>
      <c r="S118" s="685"/>
    </row>
    <row r="119" spans="1:19" ht="36" customHeight="1">
      <c r="A119" s="671" t="s">
        <v>666</v>
      </c>
      <c r="B119" s="701" t="str">
        <f>IF('2_入力'!H24="","",'2_入力'!H24&amp;'2_入力'!I24)</f>
        <v/>
      </c>
      <c r="C119" s="701"/>
      <c r="D119" s="701"/>
      <c r="E119" s="701"/>
      <c r="F119" s="701"/>
      <c r="G119" s="701"/>
      <c r="H119" s="701"/>
      <c r="I119" s="701"/>
      <c r="J119" s="701"/>
      <c r="K119" s="661"/>
      <c r="L119" s="661"/>
      <c r="M119" s="661"/>
    </row>
    <row r="120" spans="1:19" ht="18" customHeight="1">
      <c r="A120" s="701" t="s">
        <v>687</v>
      </c>
      <c r="B120" s="708" t="str">
        <f>IF('2_入力'!O24="","",'2_入力'!O24)</f>
        <v/>
      </c>
      <c r="C120" s="708"/>
      <c r="D120" s="708"/>
      <c r="E120" s="708"/>
      <c r="F120" s="708"/>
      <c r="G120" s="708"/>
      <c r="H120" s="708"/>
      <c r="I120" s="708"/>
      <c r="J120" s="708"/>
      <c r="K120" s="661"/>
      <c r="L120" s="704" t="str">
        <f>'2_入力'!AE24</f>
        <v/>
      </c>
      <c r="M120" s="704"/>
      <c r="N120" s="704"/>
      <c r="O120" s="704"/>
      <c r="P120" s="704"/>
      <c r="Q120" s="704" t="str">
        <f>'2_入力'!AF24&amp;'2_入力'!AG24</f>
        <v/>
      </c>
      <c r="R120" s="704"/>
      <c r="S120" s="704"/>
    </row>
    <row r="121" spans="1:19" ht="18" customHeight="1">
      <c r="A121" s="701"/>
      <c r="B121" s="708"/>
      <c r="C121" s="708"/>
      <c r="D121" s="708"/>
      <c r="E121" s="708"/>
      <c r="F121" s="708"/>
      <c r="G121" s="708"/>
      <c r="H121" s="708"/>
      <c r="I121" s="708"/>
      <c r="J121" s="708"/>
      <c r="K121" s="661"/>
      <c r="L121" s="705" t="s">
        <v>641</v>
      </c>
      <c r="M121" s="705"/>
      <c r="N121" s="705"/>
      <c r="O121" s="707" t="str">
        <f>IF('2_入力'!Z24=0,"",'2_入力'!Z24)</f>
        <v/>
      </c>
      <c r="P121" s="707"/>
      <c r="Q121" s="706" t="s">
        <v>641</v>
      </c>
      <c r="R121" s="706"/>
      <c r="S121" s="680" t="str">
        <f>IF('2_入力'!AC24=0,"",'2_入力'!AC24)</f>
        <v/>
      </c>
    </row>
    <row r="122" spans="1:19" ht="11.25" customHeight="1">
      <c r="A122" s="661"/>
      <c r="B122" s="661"/>
      <c r="C122" s="661"/>
      <c r="D122" s="661"/>
      <c r="E122" s="661"/>
      <c r="F122" s="661"/>
      <c r="G122" s="661"/>
      <c r="H122" s="661"/>
      <c r="I122" s="661"/>
      <c r="J122" s="661"/>
      <c r="K122" s="661"/>
      <c r="L122" s="661"/>
      <c r="M122" s="661"/>
    </row>
    <row r="123" spans="1:19">
      <c r="A123" s="692" t="s">
        <v>798</v>
      </c>
      <c r="B123" s="692"/>
      <c r="C123" s="692"/>
      <c r="D123" s="692"/>
      <c r="E123" s="692"/>
      <c r="F123" s="692"/>
      <c r="G123" s="692"/>
      <c r="H123" s="692"/>
      <c r="I123" s="692"/>
      <c r="J123" s="692"/>
      <c r="K123" s="692"/>
      <c r="L123" s="692"/>
      <c r="M123" s="692"/>
    </row>
    <row r="124" spans="1:19">
      <c r="A124" s="693" t="s">
        <v>797</v>
      </c>
      <c r="B124" s="714" t="s">
        <v>804</v>
      </c>
      <c r="C124" s="714"/>
      <c r="D124" s="714"/>
      <c r="E124" s="714"/>
      <c r="F124" s="714"/>
      <c r="G124" s="692"/>
      <c r="H124" s="692"/>
      <c r="I124" s="713" t="s">
        <v>799</v>
      </c>
      <c r="J124" s="713"/>
      <c r="K124" s="713"/>
      <c r="L124" s="713"/>
      <c r="M124" s="709" t="s">
        <v>801</v>
      </c>
      <c r="N124" s="709"/>
      <c r="O124" s="709"/>
      <c r="P124" s="709"/>
      <c r="Q124" s="709"/>
      <c r="R124" s="709"/>
      <c r="S124" s="709"/>
    </row>
    <row r="125" spans="1:19" ht="11.25" customHeight="1">
      <c r="A125" s="693" t="s">
        <v>795</v>
      </c>
      <c r="B125" s="709" t="s">
        <v>805</v>
      </c>
      <c r="C125" s="709"/>
      <c r="D125" s="709"/>
      <c r="E125" s="709"/>
      <c r="F125" s="709"/>
      <c r="G125" s="692"/>
      <c r="H125" s="692"/>
      <c r="I125" s="713" t="s">
        <v>795</v>
      </c>
      <c r="J125" s="713"/>
      <c r="K125" s="713"/>
      <c r="L125" s="713"/>
      <c r="M125" s="709" t="s">
        <v>800</v>
      </c>
      <c r="N125" s="709"/>
      <c r="O125" s="709"/>
      <c r="P125" s="709"/>
      <c r="Q125" s="709"/>
      <c r="R125" s="709"/>
      <c r="S125" s="709"/>
    </row>
    <row r="126" spans="1:19" ht="11.25" customHeight="1">
      <c r="A126" s="693" t="s">
        <v>796</v>
      </c>
      <c r="B126" s="709" t="s">
        <v>806</v>
      </c>
      <c r="C126" s="709"/>
      <c r="D126" s="709"/>
      <c r="E126" s="709"/>
      <c r="F126" s="709"/>
      <c r="G126" s="692"/>
      <c r="H126" s="692"/>
      <c r="I126" s="713" t="s">
        <v>796</v>
      </c>
      <c r="J126" s="713"/>
      <c r="K126" s="713"/>
      <c r="L126" s="713"/>
      <c r="M126" s="709" t="s">
        <v>802</v>
      </c>
      <c r="N126" s="709"/>
      <c r="O126" s="709"/>
      <c r="P126" s="709"/>
      <c r="Q126" s="709"/>
      <c r="R126" s="709"/>
      <c r="S126" s="709"/>
    </row>
    <row r="127" spans="1:19">
      <c r="A127" s="692"/>
      <c r="B127" s="692"/>
      <c r="C127" s="692"/>
      <c r="D127" s="692"/>
      <c r="E127" s="692"/>
      <c r="F127" s="692"/>
      <c r="G127" s="692"/>
      <c r="H127" s="692"/>
      <c r="I127" s="692"/>
      <c r="J127" s="692"/>
      <c r="K127" s="692"/>
      <c r="L127" s="692"/>
      <c r="M127" s="692"/>
    </row>
    <row r="128" spans="1:19">
      <c r="A128" s="661"/>
      <c r="B128" s="661"/>
      <c r="C128" s="661"/>
      <c r="D128" s="661"/>
      <c r="E128" s="661"/>
      <c r="F128" s="661"/>
      <c r="G128" s="661"/>
      <c r="H128" s="661"/>
      <c r="I128" s="661"/>
      <c r="J128" s="661"/>
      <c r="K128" s="661"/>
      <c r="L128" s="661"/>
      <c r="M128" s="661"/>
    </row>
    <row r="129" spans="1:27" ht="15" customHeight="1">
      <c r="A129" s="661"/>
      <c r="B129" s="661"/>
      <c r="C129" s="661"/>
      <c r="D129" s="661"/>
      <c r="E129" s="661"/>
      <c r="F129" s="661"/>
      <c r="G129" s="661"/>
      <c r="H129" s="661"/>
      <c r="I129" s="661"/>
      <c r="J129" s="661"/>
      <c r="K129" s="661"/>
      <c r="L129" s="661"/>
      <c r="M129" s="661"/>
    </row>
    <row r="130" spans="1:27" ht="53.25" customHeight="1">
      <c r="A130" s="661"/>
      <c r="B130" s="661"/>
      <c r="C130" s="661"/>
      <c r="D130" s="661"/>
      <c r="E130" s="661"/>
      <c r="F130" s="661"/>
      <c r="G130" s="661"/>
      <c r="H130" s="661"/>
      <c r="I130" s="661"/>
      <c r="J130" s="661"/>
      <c r="K130" s="661"/>
      <c r="L130" s="661"/>
      <c r="M130" s="661"/>
    </row>
    <row r="131" spans="1:27" ht="4.5" customHeight="1">
      <c r="A131" s="661"/>
      <c r="B131" s="661"/>
      <c r="C131" s="661"/>
      <c r="D131" s="661"/>
      <c r="E131" s="661"/>
      <c r="F131" s="661"/>
      <c r="G131" s="661"/>
      <c r="H131" s="661"/>
      <c r="I131" s="661"/>
      <c r="J131" s="661"/>
      <c r="K131" s="661"/>
      <c r="L131" s="661"/>
      <c r="M131" s="661"/>
    </row>
    <row r="132" spans="1:27" ht="4.5" customHeight="1">
      <c r="A132" s="661"/>
      <c r="B132" s="661"/>
      <c r="C132" s="661"/>
      <c r="D132" s="661"/>
      <c r="E132" s="661"/>
      <c r="F132" s="661"/>
      <c r="G132" s="661"/>
      <c r="H132" s="661"/>
      <c r="I132" s="661"/>
      <c r="J132" s="661"/>
      <c r="K132" s="661"/>
      <c r="L132" s="661"/>
      <c r="M132" s="661"/>
    </row>
    <row r="133" spans="1:27" ht="24.75" customHeight="1">
      <c r="A133" s="661"/>
      <c r="B133" s="661"/>
      <c r="C133" s="661"/>
      <c r="D133" s="661"/>
      <c r="E133" s="661"/>
      <c r="F133" s="661"/>
      <c r="G133" s="661"/>
      <c r="H133" s="661"/>
      <c r="I133" s="661"/>
      <c r="J133" s="661"/>
      <c r="K133" s="661"/>
      <c r="L133" s="661"/>
      <c r="M133" s="661"/>
    </row>
    <row r="134" spans="1:27">
      <c r="A134" s="661"/>
      <c r="B134" s="661"/>
      <c r="C134" s="661"/>
      <c r="D134" s="661"/>
      <c r="E134" s="661"/>
      <c r="F134" s="661"/>
      <c r="G134" s="661"/>
      <c r="H134" s="661"/>
      <c r="I134" s="661"/>
      <c r="J134" s="661"/>
      <c r="K134" s="661"/>
      <c r="L134" s="661"/>
      <c r="M134" s="661"/>
    </row>
    <row r="135" spans="1:27" ht="18" customHeight="1">
      <c r="A135" s="701" t="s">
        <v>664</v>
      </c>
      <c r="B135" s="701" t="str">
        <f>IF('2_入力'!E25="","",'2_入力'!E25)</f>
        <v/>
      </c>
      <c r="C135" s="701"/>
      <c r="D135" s="701"/>
      <c r="E135" s="701"/>
      <c r="F135" s="701"/>
      <c r="G135" s="701"/>
      <c r="H135" s="701"/>
      <c r="I135" s="701"/>
      <c r="J135" s="701"/>
      <c r="K135" s="664"/>
      <c r="L135" s="661"/>
      <c r="M135" s="661"/>
    </row>
    <row r="136" spans="1:27" ht="18" customHeight="1">
      <c r="A136" s="701"/>
      <c r="B136" s="701"/>
      <c r="C136" s="701"/>
      <c r="D136" s="701"/>
      <c r="E136" s="701"/>
      <c r="F136" s="701"/>
      <c r="G136" s="701"/>
      <c r="H136" s="701"/>
      <c r="I136" s="701"/>
      <c r="J136" s="701"/>
      <c r="K136" s="664"/>
      <c r="L136" s="661"/>
      <c r="M136" s="661"/>
    </row>
    <row r="137" spans="1:27" ht="18" customHeight="1">
      <c r="A137" s="701" t="s">
        <v>686</v>
      </c>
      <c r="B137" s="703" t="str">
        <f>IF('2_入力'!G25="","",'2_入力'!G25)</f>
        <v/>
      </c>
      <c r="C137" s="702" t="s">
        <v>688</v>
      </c>
      <c r="D137" s="709"/>
      <c r="E137" s="709"/>
      <c r="F137" s="709"/>
      <c r="G137" s="709"/>
      <c r="H137" s="709"/>
      <c r="I137" s="709"/>
      <c r="J137" s="709"/>
      <c r="K137" s="664"/>
      <c r="L137" s="661"/>
      <c r="M137" s="661"/>
    </row>
    <row r="138" spans="1:27" ht="18" customHeight="1">
      <c r="A138" s="701"/>
      <c r="B138" s="703"/>
      <c r="C138" s="702"/>
      <c r="D138" s="709"/>
      <c r="E138" s="709"/>
      <c r="F138" s="709"/>
      <c r="G138" s="709"/>
      <c r="H138" s="709"/>
      <c r="I138" s="709"/>
      <c r="J138" s="709"/>
      <c r="K138" s="664"/>
      <c r="L138" s="661"/>
      <c r="M138" s="661"/>
    </row>
    <row r="139" spans="1:27" ht="18" customHeight="1">
      <c r="A139" s="701" t="s">
        <v>666</v>
      </c>
      <c r="B139" s="701" t="str">
        <f>IF('2_入力'!H25="","",'2_入力'!H25&amp;'2_入力'!I25)</f>
        <v/>
      </c>
      <c r="C139" s="701"/>
      <c r="D139" s="701"/>
      <c r="E139" s="701"/>
      <c r="F139" s="701"/>
      <c r="G139" s="701"/>
      <c r="H139" s="701"/>
      <c r="I139" s="701"/>
      <c r="J139" s="701"/>
      <c r="L139" s="661"/>
      <c r="M139" s="661"/>
      <c r="Y139" s="665"/>
      <c r="Z139" s="665"/>
      <c r="AA139" s="666"/>
    </row>
    <row r="140" spans="1:27" ht="18" customHeight="1">
      <c r="A140" s="701"/>
      <c r="B140" s="701"/>
      <c r="C140" s="701"/>
      <c r="D140" s="701"/>
      <c r="E140" s="701"/>
      <c r="F140" s="701"/>
      <c r="G140" s="701"/>
      <c r="H140" s="701"/>
      <c r="I140" s="701"/>
      <c r="J140" s="701"/>
      <c r="K140" s="667"/>
      <c r="L140" s="661"/>
      <c r="M140" s="661"/>
      <c r="V140" s="668"/>
      <c r="Y140" s="665"/>
      <c r="Z140" s="665"/>
      <c r="AA140" s="666"/>
    </row>
    <row r="141" spans="1:27" ht="18" customHeight="1">
      <c r="A141" s="701" t="s">
        <v>687</v>
      </c>
      <c r="B141" s="708" t="str">
        <f>IF('2_入力'!O25="","",'2_入力'!O25)</f>
        <v/>
      </c>
      <c r="C141" s="708"/>
      <c r="D141" s="708"/>
      <c r="E141" s="708"/>
      <c r="F141" s="708"/>
      <c r="G141" s="708"/>
      <c r="H141" s="708"/>
      <c r="I141" s="708"/>
      <c r="J141" s="708"/>
      <c r="L141" s="710" t="str">
        <f>'2_入力'!AE25</f>
        <v/>
      </c>
      <c r="M141" s="710"/>
      <c r="N141" s="710"/>
      <c r="O141" s="710"/>
      <c r="P141" s="710"/>
      <c r="Q141" s="711" t="str">
        <f>'2_入力'!AF25&amp;'2_入力'!AG25</f>
        <v/>
      </c>
      <c r="R141" s="711"/>
      <c r="S141" s="711"/>
      <c r="Y141" s="665"/>
      <c r="Z141" s="665"/>
      <c r="AA141" s="666"/>
    </row>
    <row r="142" spans="1:27" ht="18" customHeight="1">
      <c r="A142" s="701"/>
      <c r="B142" s="708"/>
      <c r="C142" s="708"/>
      <c r="D142" s="708"/>
      <c r="E142" s="708"/>
      <c r="F142" s="708"/>
      <c r="G142" s="708"/>
      <c r="H142" s="708"/>
      <c r="I142" s="708"/>
      <c r="J142" s="708"/>
      <c r="K142" s="669"/>
      <c r="L142" s="705" t="s">
        <v>641</v>
      </c>
      <c r="M142" s="705"/>
      <c r="N142" s="705"/>
      <c r="O142" s="712" t="str">
        <f>IF('2_入力'!Z25=0,"",'2_入力'!Z25)</f>
        <v/>
      </c>
      <c r="P142" s="712"/>
      <c r="Q142" s="706" t="s">
        <v>641</v>
      </c>
      <c r="R142" s="706"/>
      <c r="S142" s="670" t="str">
        <f>IF('2_入力'!AC25=0,"",'2_入力'!AC25)</f>
        <v/>
      </c>
      <c r="Y142" s="665"/>
      <c r="Z142" s="665"/>
      <c r="AA142" s="666"/>
    </row>
    <row r="143" spans="1:27" ht="24.75" customHeight="1">
      <c r="A143" s="661"/>
      <c r="B143" s="661"/>
      <c r="C143" s="661"/>
      <c r="D143" s="661"/>
      <c r="E143" s="661"/>
      <c r="F143" s="661"/>
      <c r="G143" s="661"/>
      <c r="H143" s="661"/>
      <c r="I143" s="661"/>
      <c r="J143" s="661"/>
      <c r="K143" s="661"/>
      <c r="L143" s="661"/>
      <c r="M143" s="661"/>
      <c r="Y143" s="665"/>
      <c r="Z143" s="665"/>
      <c r="AA143" s="666"/>
    </row>
    <row r="144" spans="1:27" ht="11.25" customHeight="1">
      <c r="A144" s="661"/>
      <c r="B144" s="661"/>
      <c r="C144" s="661"/>
      <c r="D144" s="661"/>
      <c r="E144" s="661"/>
      <c r="F144" s="661"/>
      <c r="G144" s="661"/>
      <c r="H144" s="661"/>
      <c r="I144" s="661"/>
      <c r="J144" s="661"/>
      <c r="K144" s="661"/>
      <c r="L144" s="661"/>
      <c r="M144" s="661"/>
      <c r="Y144" s="665"/>
      <c r="Z144" s="665"/>
      <c r="AA144" s="666"/>
    </row>
    <row r="145" spans="1:27" ht="36" customHeight="1">
      <c r="A145" s="671" t="s">
        <v>664</v>
      </c>
      <c r="B145" s="701" t="str">
        <f>IF('2_入力'!E26="","",'2_入力'!E26)</f>
        <v/>
      </c>
      <c r="C145" s="701"/>
      <c r="D145" s="701"/>
      <c r="E145" s="701"/>
      <c r="F145" s="701"/>
      <c r="G145" s="701"/>
      <c r="H145" s="701"/>
      <c r="I145" s="701"/>
      <c r="J145" s="701"/>
      <c r="K145" s="661"/>
      <c r="L145" s="661"/>
      <c r="M145" s="661"/>
      <c r="N145" s="672"/>
      <c r="O145" s="672"/>
      <c r="P145" s="673"/>
      <c r="Q145" s="673"/>
      <c r="R145" s="663"/>
      <c r="S145" s="674"/>
      <c r="Y145" s="665"/>
      <c r="Z145" s="665"/>
      <c r="AA145" s="666"/>
    </row>
    <row r="146" spans="1:27" ht="36" customHeight="1">
      <c r="A146" s="675" t="s">
        <v>686</v>
      </c>
      <c r="B146" s="676" t="str">
        <f>IF('2_入力'!G26="","",'2_入力'!G26)</f>
        <v/>
      </c>
      <c r="C146" s="677" t="s">
        <v>688</v>
      </c>
      <c r="D146" s="678"/>
      <c r="E146" s="661"/>
      <c r="F146" s="661"/>
      <c r="G146" s="661"/>
      <c r="H146" s="661"/>
      <c r="I146" s="661"/>
      <c r="J146" s="661"/>
      <c r="K146" s="661"/>
      <c r="L146" s="661"/>
      <c r="M146" s="661"/>
    </row>
    <row r="147" spans="1:27" ht="36" customHeight="1">
      <c r="A147" s="671" t="s">
        <v>666</v>
      </c>
      <c r="B147" s="701" t="str">
        <f>IF('2_入力'!H26="","",'2_入力'!H26&amp;'2_入力'!I26)</f>
        <v/>
      </c>
      <c r="C147" s="701"/>
      <c r="D147" s="701"/>
      <c r="E147" s="701"/>
      <c r="F147" s="701"/>
      <c r="G147" s="701"/>
      <c r="H147" s="701"/>
      <c r="I147" s="701"/>
      <c r="J147" s="701"/>
      <c r="K147" s="661"/>
      <c r="L147" s="661"/>
      <c r="M147" s="661"/>
      <c r="N147" s="679"/>
      <c r="O147" s="679"/>
      <c r="P147" s="679"/>
      <c r="Q147" s="679"/>
      <c r="R147" s="679"/>
      <c r="S147" s="679"/>
    </row>
    <row r="148" spans="1:27" ht="18" customHeight="1">
      <c r="A148" s="701" t="s">
        <v>687</v>
      </c>
      <c r="B148" s="708" t="str">
        <f>IF('2_入力'!O26="","",'2_入力'!O26)</f>
        <v/>
      </c>
      <c r="C148" s="708"/>
      <c r="D148" s="708"/>
      <c r="E148" s="708"/>
      <c r="F148" s="708"/>
      <c r="G148" s="708"/>
      <c r="H148" s="708"/>
      <c r="I148" s="708"/>
      <c r="J148" s="708"/>
      <c r="K148" s="661"/>
      <c r="L148" s="704" t="str">
        <f>'2_入力'!AE26</f>
        <v/>
      </c>
      <c r="M148" s="704"/>
      <c r="N148" s="704"/>
      <c r="O148" s="704"/>
      <c r="P148" s="704"/>
      <c r="Q148" s="704" t="str">
        <f>'2_入力'!AF26&amp;'2_入力'!AG26</f>
        <v/>
      </c>
      <c r="R148" s="704"/>
      <c r="S148" s="704"/>
    </row>
    <row r="149" spans="1:27" ht="18" customHeight="1">
      <c r="A149" s="701"/>
      <c r="B149" s="708"/>
      <c r="C149" s="708"/>
      <c r="D149" s="708"/>
      <c r="E149" s="708"/>
      <c r="F149" s="708"/>
      <c r="G149" s="708"/>
      <c r="H149" s="708"/>
      <c r="I149" s="708"/>
      <c r="J149" s="708"/>
      <c r="K149" s="661"/>
      <c r="L149" s="705" t="s">
        <v>641</v>
      </c>
      <c r="M149" s="705"/>
      <c r="N149" s="705"/>
      <c r="O149" s="707" t="str">
        <f>IF('2_入力'!Z26=0,"",'2_入力'!Z26)</f>
        <v/>
      </c>
      <c r="P149" s="707"/>
      <c r="Q149" s="706" t="s">
        <v>641</v>
      </c>
      <c r="R149" s="706"/>
      <c r="S149" s="680" t="str">
        <f>IF('2_入力'!AC26=0,"",'2_入力'!AC26)</f>
        <v/>
      </c>
    </row>
    <row r="150" spans="1:27" ht="24.75" customHeight="1">
      <c r="A150" s="661"/>
      <c r="B150" s="661"/>
      <c r="C150" s="661"/>
      <c r="D150" s="661"/>
      <c r="E150" s="661"/>
      <c r="F150" s="661"/>
      <c r="G150" s="661"/>
      <c r="H150" s="661"/>
      <c r="I150" s="661"/>
      <c r="J150" s="661"/>
      <c r="K150" s="661"/>
      <c r="L150" s="661"/>
      <c r="M150" s="661"/>
      <c r="N150" s="679"/>
      <c r="O150" s="679"/>
      <c r="P150" s="679"/>
      <c r="Q150" s="679"/>
      <c r="R150" s="679"/>
      <c r="S150" s="679"/>
    </row>
    <row r="151" spans="1:27" ht="11.25" customHeight="1">
      <c r="A151" s="661"/>
      <c r="B151" s="661"/>
      <c r="C151" s="661"/>
      <c r="D151" s="661"/>
      <c r="E151" s="661"/>
      <c r="F151" s="661"/>
      <c r="G151" s="661"/>
      <c r="H151" s="661"/>
      <c r="I151" s="661"/>
      <c r="J151" s="661"/>
      <c r="K151" s="661"/>
      <c r="L151" s="661"/>
      <c r="M151" s="661"/>
    </row>
    <row r="152" spans="1:27" ht="36" customHeight="1">
      <c r="A152" s="671" t="s">
        <v>664</v>
      </c>
      <c r="B152" s="701" t="str">
        <f>IF('2_入力'!E27="","",'2_入力'!E27)</f>
        <v/>
      </c>
      <c r="C152" s="701"/>
      <c r="D152" s="701"/>
      <c r="E152" s="701"/>
      <c r="F152" s="701"/>
      <c r="G152" s="701"/>
      <c r="H152" s="701"/>
      <c r="I152" s="701"/>
      <c r="J152" s="701"/>
      <c r="K152" s="661"/>
      <c r="L152" s="661"/>
      <c r="M152" s="661"/>
    </row>
    <row r="153" spans="1:27" ht="36" customHeight="1">
      <c r="A153" s="675" t="s">
        <v>686</v>
      </c>
      <c r="B153" s="676" t="str">
        <f>IF('2_入力'!G27="","",'2_入力'!G27)</f>
        <v/>
      </c>
      <c r="C153" s="677" t="s">
        <v>688</v>
      </c>
      <c r="D153" s="661"/>
      <c r="E153" s="661"/>
      <c r="F153" s="661"/>
      <c r="G153" s="661"/>
      <c r="H153" s="661"/>
      <c r="I153" s="661"/>
      <c r="J153" s="661"/>
      <c r="K153" s="661"/>
      <c r="L153" s="661"/>
      <c r="M153" s="661"/>
      <c r="O153" s="681"/>
      <c r="P153" s="681"/>
      <c r="Q153" s="682"/>
      <c r="R153" s="682"/>
      <c r="S153" s="683"/>
    </row>
    <row r="154" spans="1:27" ht="36" customHeight="1">
      <c r="A154" s="671" t="s">
        <v>666</v>
      </c>
      <c r="B154" s="701" t="str">
        <f>IF('2_入力'!H27="","",'2_入力'!H27&amp;'2_入力'!I27)</f>
        <v/>
      </c>
      <c r="C154" s="701"/>
      <c r="D154" s="701"/>
      <c r="E154" s="701"/>
      <c r="F154" s="701"/>
      <c r="G154" s="701"/>
      <c r="H154" s="701"/>
      <c r="I154" s="701"/>
      <c r="J154" s="701"/>
      <c r="K154" s="661"/>
      <c r="L154" s="661"/>
      <c r="M154" s="661"/>
      <c r="Q154" s="684"/>
      <c r="R154" s="685"/>
      <c r="S154" s="685"/>
    </row>
    <row r="155" spans="1:27" ht="18" customHeight="1">
      <c r="A155" s="701" t="s">
        <v>687</v>
      </c>
      <c r="B155" s="708" t="str">
        <f>IF('2_入力'!O27="","",'2_入力'!O27)</f>
        <v/>
      </c>
      <c r="C155" s="708"/>
      <c r="D155" s="708"/>
      <c r="E155" s="708"/>
      <c r="F155" s="708"/>
      <c r="G155" s="708"/>
      <c r="H155" s="708"/>
      <c r="I155" s="708"/>
      <c r="J155" s="708"/>
      <c r="K155" s="661"/>
      <c r="L155" s="704" t="str">
        <f>'2_入力'!AE27</f>
        <v/>
      </c>
      <c r="M155" s="704"/>
      <c r="N155" s="704"/>
      <c r="O155" s="704"/>
      <c r="P155" s="704"/>
      <c r="Q155" s="704" t="str">
        <f>'2_入力'!AF27&amp;'2_入力'!AG27</f>
        <v/>
      </c>
      <c r="R155" s="704"/>
      <c r="S155" s="704"/>
    </row>
    <row r="156" spans="1:27" ht="18" customHeight="1">
      <c r="A156" s="701"/>
      <c r="B156" s="708"/>
      <c r="C156" s="708"/>
      <c r="D156" s="708"/>
      <c r="E156" s="708"/>
      <c r="F156" s="708"/>
      <c r="G156" s="708"/>
      <c r="H156" s="708"/>
      <c r="I156" s="708"/>
      <c r="J156" s="708"/>
      <c r="K156" s="661"/>
      <c r="L156" s="705" t="s">
        <v>641</v>
      </c>
      <c r="M156" s="705"/>
      <c r="N156" s="705"/>
      <c r="O156" s="707" t="str">
        <f>IF('2_入力'!Z27=0,"",'2_入力'!Z27)</f>
        <v/>
      </c>
      <c r="P156" s="707"/>
      <c r="Q156" s="706" t="s">
        <v>641</v>
      </c>
      <c r="R156" s="706"/>
      <c r="S156" s="680" t="str">
        <f>IF('2_入力'!AC27=0,"",'2_入力'!AC27)</f>
        <v/>
      </c>
    </row>
    <row r="157" spans="1:27" ht="24.75" customHeight="1">
      <c r="A157" s="661"/>
      <c r="B157" s="661"/>
      <c r="C157" s="661"/>
      <c r="D157" s="661"/>
      <c r="E157" s="661"/>
      <c r="F157" s="661"/>
      <c r="G157" s="661"/>
      <c r="H157" s="661"/>
      <c r="I157" s="661"/>
      <c r="J157" s="661"/>
      <c r="K157" s="661"/>
      <c r="L157" s="661"/>
      <c r="M157" s="664"/>
      <c r="N157" s="664"/>
      <c r="O157" s="686"/>
      <c r="P157" s="686"/>
      <c r="Q157" s="687"/>
      <c r="R157" s="687"/>
      <c r="S157" s="686"/>
    </row>
    <row r="158" spans="1:27" ht="11.25" customHeight="1">
      <c r="A158" s="661"/>
      <c r="B158" s="661"/>
      <c r="C158" s="661"/>
      <c r="D158" s="661"/>
      <c r="E158" s="661"/>
      <c r="F158" s="661"/>
      <c r="G158" s="661"/>
      <c r="H158" s="661"/>
      <c r="I158" s="661"/>
      <c r="J158" s="661"/>
      <c r="K158" s="661"/>
      <c r="L158" s="661"/>
      <c r="M158" s="688"/>
      <c r="N158" s="688"/>
      <c r="Q158" s="684"/>
      <c r="R158" s="689"/>
      <c r="S158" s="689"/>
    </row>
    <row r="159" spans="1:27" ht="36" customHeight="1">
      <c r="A159" s="671" t="s">
        <v>664</v>
      </c>
      <c r="B159" s="701" t="str">
        <f>IF('2_入力'!E28="","",'2_入力'!E28)</f>
        <v/>
      </c>
      <c r="C159" s="701"/>
      <c r="D159" s="701"/>
      <c r="E159" s="701"/>
      <c r="F159" s="701"/>
      <c r="G159" s="701"/>
      <c r="H159" s="701"/>
      <c r="I159" s="701"/>
      <c r="J159" s="701"/>
      <c r="K159" s="661"/>
      <c r="L159" s="661"/>
      <c r="M159" s="669"/>
      <c r="N159" s="669"/>
      <c r="O159" s="690"/>
      <c r="P159" s="690"/>
      <c r="Q159" s="691"/>
      <c r="R159" s="691"/>
      <c r="S159" s="668"/>
    </row>
    <row r="160" spans="1:27" ht="36" customHeight="1">
      <c r="A160" s="675" t="s">
        <v>686</v>
      </c>
      <c r="B160" s="676" t="str">
        <f>IF('2_入力'!G28="","",'2_入力'!G28)</f>
        <v/>
      </c>
      <c r="C160" s="677" t="s">
        <v>688</v>
      </c>
      <c r="D160" s="661"/>
      <c r="E160" s="661"/>
      <c r="F160" s="661"/>
      <c r="G160" s="661"/>
      <c r="H160" s="661"/>
      <c r="I160" s="661"/>
      <c r="J160" s="661"/>
      <c r="K160" s="661"/>
      <c r="L160" s="661"/>
      <c r="M160" s="688"/>
      <c r="N160" s="688"/>
      <c r="Q160" s="684"/>
      <c r="R160" s="685"/>
      <c r="S160" s="685"/>
    </row>
    <row r="161" spans="1:19" ht="36" customHeight="1">
      <c r="A161" s="671" t="s">
        <v>666</v>
      </c>
      <c r="B161" s="701" t="str">
        <f>IF('2_入力'!H28="","",'2_入力'!H28&amp;'2_入力'!I28)</f>
        <v/>
      </c>
      <c r="C161" s="701"/>
      <c r="D161" s="701"/>
      <c r="E161" s="701"/>
      <c r="F161" s="701"/>
      <c r="G161" s="701"/>
      <c r="H161" s="701"/>
      <c r="I161" s="701"/>
      <c r="J161" s="701"/>
      <c r="K161" s="661"/>
      <c r="L161" s="661"/>
      <c r="M161" s="661"/>
    </row>
    <row r="162" spans="1:19" ht="18" customHeight="1">
      <c r="A162" s="701" t="s">
        <v>687</v>
      </c>
      <c r="B162" s="708" t="str">
        <f>IF('2_入力'!O28="","",'2_入力'!O28)</f>
        <v/>
      </c>
      <c r="C162" s="708"/>
      <c r="D162" s="708"/>
      <c r="E162" s="708"/>
      <c r="F162" s="708"/>
      <c r="G162" s="708"/>
      <c r="H162" s="708"/>
      <c r="I162" s="708"/>
      <c r="J162" s="708"/>
      <c r="K162" s="661"/>
      <c r="L162" s="704" t="str">
        <f>'2_入力'!AE28</f>
        <v/>
      </c>
      <c r="M162" s="704"/>
      <c r="N162" s="704"/>
      <c r="O162" s="704"/>
      <c r="P162" s="704"/>
      <c r="Q162" s="704" t="str">
        <f>'2_入力'!AF28&amp;'2_入力'!AG28</f>
        <v/>
      </c>
      <c r="R162" s="704"/>
      <c r="S162" s="704"/>
    </row>
    <row r="163" spans="1:19" ht="18" customHeight="1">
      <c r="A163" s="701"/>
      <c r="B163" s="708"/>
      <c r="C163" s="708"/>
      <c r="D163" s="708"/>
      <c r="E163" s="708"/>
      <c r="F163" s="708"/>
      <c r="G163" s="708"/>
      <c r="H163" s="708"/>
      <c r="I163" s="708"/>
      <c r="J163" s="708"/>
      <c r="K163" s="661"/>
      <c r="L163" s="705" t="s">
        <v>641</v>
      </c>
      <c r="M163" s="705"/>
      <c r="N163" s="705"/>
      <c r="O163" s="707" t="str">
        <f>IF('2_入力'!Z28=0,"",'2_入力'!Z28)</f>
        <v/>
      </c>
      <c r="P163" s="707"/>
      <c r="Q163" s="706" t="s">
        <v>641</v>
      </c>
      <c r="R163" s="706"/>
      <c r="S163" s="680" t="str">
        <f>IF('2_入力'!AC28=0,"",'2_入力'!AC28)</f>
        <v/>
      </c>
    </row>
    <row r="164" spans="1:19" ht="11.25" customHeight="1">
      <c r="A164" s="661"/>
      <c r="B164" s="661"/>
      <c r="C164" s="661"/>
      <c r="D164" s="661"/>
      <c r="E164" s="661"/>
      <c r="F164" s="661"/>
      <c r="G164" s="661"/>
      <c r="H164" s="661"/>
      <c r="I164" s="661"/>
      <c r="J164" s="661"/>
      <c r="K164" s="661"/>
      <c r="L164" s="661"/>
      <c r="M164" s="661"/>
    </row>
    <row r="165" spans="1:19">
      <c r="A165" s="692" t="s">
        <v>798</v>
      </c>
      <c r="B165" s="692"/>
      <c r="C165" s="692"/>
      <c r="D165" s="692"/>
      <c r="E165" s="692"/>
      <c r="F165" s="692"/>
      <c r="G165" s="692"/>
      <c r="H165" s="692"/>
      <c r="I165" s="692"/>
      <c r="J165" s="692"/>
      <c r="K165" s="692"/>
      <c r="L165" s="692"/>
      <c r="M165" s="692"/>
    </row>
    <row r="166" spans="1:19">
      <c r="A166" s="693" t="s">
        <v>797</v>
      </c>
      <c r="B166" s="714" t="s">
        <v>804</v>
      </c>
      <c r="C166" s="714"/>
      <c r="D166" s="714"/>
      <c r="E166" s="714"/>
      <c r="F166" s="714"/>
      <c r="G166" s="692"/>
      <c r="H166" s="692"/>
      <c r="I166" s="713" t="s">
        <v>799</v>
      </c>
      <c r="J166" s="713"/>
      <c r="K166" s="713"/>
      <c r="L166" s="713"/>
      <c r="M166" s="709" t="s">
        <v>801</v>
      </c>
      <c r="N166" s="709"/>
      <c r="O166" s="709"/>
      <c r="P166" s="709"/>
      <c r="Q166" s="709"/>
      <c r="R166" s="709"/>
      <c r="S166" s="709"/>
    </row>
    <row r="167" spans="1:19" ht="11.25" customHeight="1">
      <c r="A167" s="693" t="s">
        <v>795</v>
      </c>
      <c r="B167" s="709" t="s">
        <v>805</v>
      </c>
      <c r="C167" s="709"/>
      <c r="D167" s="709"/>
      <c r="E167" s="709"/>
      <c r="F167" s="709"/>
      <c r="G167" s="692"/>
      <c r="H167" s="692"/>
      <c r="I167" s="713" t="s">
        <v>795</v>
      </c>
      <c r="J167" s="713"/>
      <c r="K167" s="713"/>
      <c r="L167" s="713"/>
      <c r="M167" s="709" t="s">
        <v>800</v>
      </c>
      <c r="N167" s="709"/>
      <c r="O167" s="709"/>
      <c r="P167" s="709"/>
      <c r="Q167" s="709"/>
      <c r="R167" s="709"/>
      <c r="S167" s="709"/>
    </row>
    <row r="168" spans="1:19" ht="11.25" customHeight="1">
      <c r="A168" s="693" t="s">
        <v>796</v>
      </c>
      <c r="B168" s="709" t="s">
        <v>806</v>
      </c>
      <c r="C168" s="709"/>
      <c r="D168" s="709"/>
      <c r="E168" s="709"/>
      <c r="F168" s="709"/>
      <c r="G168" s="692"/>
      <c r="H168" s="692"/>
      <c r="I168" s="713" t="s">
        <v>796</v>
      </c>
      <c r="J168" s="713"/>
      <c r="K168" s="713"/>
      <c r="L168" s="713"/>
      <c r="M168" s="709" t="s">
        <v>802</v>
      </c>
      <c r="N168" s="709"/>
      <c r="O168" s="709"/>
      <c r="P168" s="709"/>
      <c r="Q168" s="709"/>
      <c r="R168" s="709"/>
      <c r="S168" s="709"/>
    </row>
    <row r="169" spans="1:19">
      <c r="A169" s="692"/>
      <c r="B169" s="692"/>
      <c r="C169" s="692"/>
      <c r="D169" s="692"/>
      <c r="E169" s="692"/>
      <c r="F169" s="692"/>
      <c r="G169" s="692"/>
      <c r="H169" s="692"/>
      <c r="I169" s="692"/>
      <c r="J169" s="692"/>
      <c r="K169" s="692"/>
      <c r="L169" s="692"/>
      <c r="M169" s="692"/>
    </row>
    <row r="170" spans="1:19">
      <c r="A170" s="661"/>
      <c r="B170" s="661"/>
      <c r="C170" s="661"/>
      <c r="D170" s="661"/>
      <c r="E170" s="661"/>
      <c r="F170" s="661"/>
      <c r="G170" s="661"/>
      <c r="H170" s="661"/>
      <c r="I170" s="661"/>
      <c r="J170" s="661"/>
      <c r="K170" s="661"/>
      <c r="L170" s="661"/>
      <c r="M170" s="661"/>
    </row>
    <row r="171" spans="1:19" ht="15" customHeight="1">
      <c r="A171" s="661"/>
      <c r="B171" s="661"/>
      <c r="C171" s="661"/>
      <c r="D171" s="661"/>
      <c r="E171" s="661"/>
      <c r="F171" s="661"/>
      <c r="G171" s="661"/>
      <c r="H171" s="661"/>
      <c r="I171" s="661"/>
      <c r="J171" s="661"/>
      <c r="K171" s="661"/>
      <c r="L171" s="661"/>
      <c r="M171" s="661"/>
    </row>
    <row r="172" spans="1:19" ht="53.25" customHeight="1">
      <c r="A172" s="661"/>
      <c r="B172" s="661"/>
      <c r="C172" s="661"/>
      <c r="D172" s="661"/>
      <c r="E172" s="661"/>
      <c r="F172" s="661"/>
      <c r="G172" s="661"/>
      <c r="H172" s="661"/>
      <c r="I172" s="661"/>
      <c r="J172" s="661"/>
      <c r="K172" s="661"/>
      <c r="L172" s="661"/>
      <c r="M172" s="661"/>
    </row>
    <row r="173" spans="1:19" ht="4.5" customHeight="1">
      <c r="A173" s="661"/>
      <c r="B173" s="661"/>
      <c r="C173" s="661"/>
      <c r="D173" s="661"/>
      <c r="E173" s="661"/>
      <c r="F173" s="661"/>
      <c r="G173" s="661"/>
      <c r="H173" s="661"/>
      <c r="I173" s="661"/>
      <c r="J173" s="661"/>
      <c r="K173" s="661"/>
      <c r="L173" s="661"/>
      <c r="M173" s="661"/>
    </row>
    <row r="174" spans="1:19" ht="4.5" customHeight="1">
      <c r="A174" s="661"/>
      <c r="B174" s="661"/>
      <c r="C174" s="661"/>
      <c r="D174" s="661"/>
      <c r="E174" s="661"/>
      <c r="F174" s="661"/>
      <c r="G174" s="661"/>
      <c r="H174" s="661"/>
      <c r="I174" s="661"/>
      <c r="J174" s="661"/>
      <c r="K174" s="661"/>
      <c r="L174" s="661"/>
      <c r="M174" s="661"/>
    </row>
    <row r="175" spans="1:19" ht="24.75" customHeight="1">
      <c r="A175" s="661"/>
      <c r="B175" s="661"/>
      <c r="C175" s="661"/>
      <c r="D175" s="661"/>
      <c r="E175" s="661"/>
      <c r="F175" s="661"/>
      <c r="G175" s="661"/>
      <c r="H175" s="661"/>
      <c r="I175" s="661"/>
      <c r="J175" s="661"/>
      <c r="K175" s="661"/>
      <c r="L175" s="661"/>
      <c r="M175" s="661"/>
    </row>
    <row r="176" spans="1:19">
      <c r="A176" s="661"/>
      <c r="B176" s="661"/>
      <c r="C176" s="661"/>
      <c r="D176" s="661"/>
      <c r="E176" s="661"/>
      <c r="F176" s="661"/>
      <c r="G176" s="661"/>
      <c r="H176" s="661"/>
      <c r="I176" s="661"/>
      <c r="J176" s="661"/>
      <c r="K176" s="661"/>
      <c r="L176" s="661"/>
      <c r="M176" s="661"/>
    </row>
    <row r="177" spans="1:27" ht="18" customHeight="1">
      <c r="A177" s="701" t="s">
        <v>664</v>
      </c>
      <c r="B177" s="701" t="str">
        <f>IF('2_入力'!E29="","",'2_入力'!E29)</f>
        <v/>
      </c>
      <c r="C177" s="701"/>
      <c r="D177" s="701"/>
      <c r="E177" s="701"/>
      <c r="F177" s="701"/>
      <c r="G177" s="701"/>
      <c r="H177" s="701"/>
      <c r="I177" s="701"/>
      <c r="J177" s="701"/>
      <c r="K177" s="664"/>
      <c r="L177" s="661"/>
      <c r="M177" s="661"/>
    </row>
    <row r="178" spans="1:27" ht="18" customHeight="1">
      <c r="A178" s="701"/>
      <c r="B178" s="701"/>
      <c r="C178" s="701"/>
      <c r="D178" s="701"/>
      <c r="E178" s="701"/>
      <c r="F178" s="701"/>
      <c r="G178" s="701"/>
      <c r="H178" s="701"/>
      <c r="I178" s="701"/>
      <c r="J178" s="701"/>
      <c r="K178" s="664"/>
      <c r="L178" s="661"/>
      <c r="M178" s="661"/>
    </row>
    <row r="179" spans="1:27" ht="18" customHeight="1">
      <c r="A179" s="701" t="s">
        <v>686</v>
      </c>
      <c r="B179" s="703" t="str">
        <f>IF('2_入力'!G29="","",'2_入力'!G29)</f>
        <v/>
      </c>
      <c r="C179" s="702" t="s">
        <v>688</v>
      </c>
      <c r="D179" s="709"/>
      <c r="E179" s="709"/>
      <c r="F179" s="709"/>
      <c r="G179" s="709"/>
      <c r="H179" s="709"/>
      <c r="I179" s="709"/>
      <c r="J179" s="709"/>
      <c r="K179" s="664"/>
      <c r="L179" s="661"/>
      <c r="M179" s="661"/>
    </row>
    <row r="180" spans="1:27" ht="18" customHeight="1">
      <c r="A180" s="701"/>
      <c r="B180" s="703"/>
      <c r="C180" s="702"/>
      <c r="D180" s="709"/>
      <c r="E180" s="709"/>
      <c r="F180" s="709"/>
      <c r="G180" s="709"/>
      <c r="H180" s="709"/>
      <c r="I180" s="709"/>
      <c r="J180" s="709"/>
      <c r="K180" s="664"/>
      <c r="L180" s="661"/>
      <c r="M180" s="661"/>
    </row>
    <row r="181" spans="1:27" ht="18" customHeight="1">
      <c r="A181" s="701" t="s">
        <v>666</v>
      </c>
      <c r="B181" s="701" t="str">
        <f>IF('2_入力'!H29="","",'2_入力'!H29&amp;'2_入力'!I29)</f>
        <v/>
      </c>
      <c r="C181" s="701"/>
      <c r="D181" s="701"/>
      <c r="E181" s="701"/>
      <c r="F181" s="701"/>
      <c r="G181" s="701"/>
      <c r="H181" s="701"/>
      <c r="I181" s="701"/>
      <c r="J181" s="701"/>
      <c r="L181" s="661"/>
      <c r="M181" s="661"/>
      <c r="Y181" s="665"/>
      <c r="Z181" s="665"/>
      <c r="AA181" s="666"/>
    </row>
    <row r="182" spans="1:27" ht="18" customHeight="1">
      <c r="A182" s="701"/>
      <c r="B182" s="701"/>
      <c r="C182" s="701"/>
      <c r="D182" s="701"/>
      <c r="E182" s="701"/>
      <c r="F182" s="701"/>
      <c r="G182" s="701"/>
      <c r="H182" s="701"/>
      <c r="I182" s="701"/>
      <c r="J182" s="701"/>
      <c r="K182" s="667"/>
      <c r="L182" s="661"/>
      <c r="M182" s="661"/>
      <c r="V182" s="668"/>
      <c r="Y182" s="665"/>
      <c r="Z182" s="665"/>
      <c r="AA182" s="666"/>
    </row>
    <row r="183" spans="1:27" ht="18" customHeight="1">
      <c r="A183" s="701" t="s">
        <v>687</v>
      </c>
      <c r="B183" s="708" t="str">
        <f>IF('2_入力'!O29="","",'2_入力'!O29)</f>
        <v/>
      </c>
      <c r="C183" s="708"/>
      <c r="D183" s="708"/>
      <c r="E183" s="708"/>
      <c r="F183" s="708"/>
      <c r="G183" s="708"/>
      <c r="H183" s="708"/>
      <c r="I183" s="708"/>
      <c r="J183" s="708"/>
      <c r="L183" s="710" t="str">
        <f>'2_入力'!AE29</f>
        <v/>
      </c>
      <c r="M183" s="710"/>
      <c r="N183" s="710"/>
      <c r="O183" s="710"/>
      <c r="P183" s="710"/>
      <c r="Q183" s="711" t="str">
        <f>'2_入力'!AF29&amp;'2_入力'!AG29</f>
        <v/>
      </c>
      <c r="R183" s="711"/>
      <c r="S183" s="711"/>
      <c r="Y183" s="665"/>
      <c r="Z183" s="665"/>
      <c r="AA183" s="666"/>
    </row>
    <row r="184" spans="1:27" ht="18" customHeight="1">
      <c r="A184" s="701"/>
      <c r="B184" s="708"/>
      <c r="C184" s="708"/>
      <c r="D184" s="708"/>
      <c r="E184" s="708"/>
      <c r="F184" s="708"/>
      <c r="G184" s="708"/>
      <c r="H184" s="708"/>
      <c r="I184" s="708"/>
      <c r="J184" s="708"/>
      <c r="K184" s="669"/>
      <c r="L184" s="705" t="s">
        <v>641</v>
      </c>
      <c r="M184" s="705"/>
      <c r="N184" s="705"/>
      <c r="O184" s="712" t="str">
        <f>IF('2_入力'!Z29=0,"",'2_入力'!Z105)</f>
        <v/>
      </c>
      <c r="P184" s="712"/>
      <c r="Q184" s="706" t="s">
        <v>641</v>
      </c>
      <c r="R184" s="706"/>
      <c r="S184" s="670" t="str">
        <f>IF('2_入力'!AC105=0,"",'2_入力'!AC105)</f>
        <v/>
      </c>
      <c r="Y184" s="665"/>
      <c r="Z184" s="665"/>
      <c r="AA184" s="666"/>
    </row>
    <row r="185" spans="1:27" ht="24.75" customHeight="1">
      <c r="A185" s="661"/>
      <c r="B185" s="661"/>
      <c r="C185" s="661"/>
      <c r="D185" s="661"/>
      <c r="E185" s="661"/>
      <c r="F185" s="661"/>
      <c r="G185" s="661"/>
      <c r="H185" s="661"/>
      <c r="I185" s="661"/>
      <c r="J185" s="661"/>
      <c r="K185" s="661"/>
      <c r="L185" s="661"/>
      <c r="M185" s="661"/>
      <c r="Y185" s="665"/>
      <c r="Z185" s="665"/>
      <c r="AA185" s="666"/>
    </row>
    <row r="186" spans="1:27" ht="11.25" customHeight="1">
      <c r="A186" s="661"/>
      <c r="B186" s="661"/>
      <c r="C186" s="661"/>
      <c r="D186" s="661"/>
      <c r="E186" s="661"/>
      <c r="F186" s="661"/>
      <c r="G186" s="661"/>
      <c r="H186" s="661"/>
      <c r="I186" s="661"/>
      <c r="J186" s="661"/>
      <c r="K186" s="661"/>
      <c r="L186" s="661"/>
      <c r="M186" s="661"/>
      <c r="Y186" s="665"/>
      <c r="Z186" s="665"/>
      <c r="AA186" s="666"/>
    </row>
    <row r="187" spans="1:27" ht="36" customHeight="1">
      <c r="A187" s="671" t="s">
        <v>664</v>
      </c>
      <c r="B187" s="701" t="str">
        <f>IF('2_入力'!E30="","",'2_入力'!E30)</f>
        <v/>
      </c>
      <c r="C187" s="701"/>
      <c r="D187" s="701"/>
      <c r="E187" s="701"/>
      <c r="F187" s="701"/>
      <c r="G187" s="701"/>
      <c r="H187" s="701"/>
      <c r="I187" s="701"/>
      <c r="J187" s="701"/>
      <c r="K187" s="661"/>
      <c r="L187" s="661"/>
      <c r="M187" s="661"/>
      <c r="N187" s="672"/>
      <c r="O187" s="672"/>
      <c r="P187" s="673"/>
      <c r="Q187" s="673"/>
      <c r="R187" s="663"/>
      <c r="S187" s="674"/>
      <c r="Y187" s="665"/>
      <c r="Z187" s="665"/>
      <c r="AA187" s="666"/>
    </row>
    <row r="188" spans="1:27" ht="36" customHeight="1">
      <c r="A188" s="675" t="s">
        <v>686</v>
      </c>
      <c r="B188" s="676" t="str">
        <f>IF('2_入力'!G30="","",'2_入力'!G30)</f>
        <v/>
      </c>
      <c r="C188" s="677" t="s">
        <v>688</v>
      </c>
      <c r="D188" s="678"/>
      <c r="E188" s="661"/>
      <c r="F188" s="661"/>
      <c r="G188" s="661"/>
      <c r="H188" s="661"/>
      <c r="I188" s="661"/>
      <c r="J188" s="661"/>
      <c r="K188" s="661"/>
      <c r="L188" s="661"/>
      <c r="M188" s="661"/>
    </row>
    <row r="189" spans="1:27" ht="36" customHeight="1">
      <c r="A189" s="671" t="s">
        <v>666</v>
      </c>
      <c r="B189" s="701" t="str">
        <f>IF('2_入力'!H30="","",'2_入力'!H30&amp;'2_入力'!I30)</f>
        <v/>
      </c>
      <c r="C189" s="701"/>
      <c r="D189" s="701"/>
      <c r="E189" s="701"/>
      <c r="F189" s="701"/>
      <c r="G189" s="701"/>
      <c r="H189" s="701"/>
      <c r="I189" s="701"/>
      <c r="J189" s="701"/>
      <c r="K189" s="661"/>
      <c r="L189" s="661"/>
      <c r="M189" s="661"/>
      <c r="N189" s="679"/>
      <c r="O189" s="679"/>
      <c r="P189" s="679"/>
      <c r="Q189" s="679"/>
      <c r="R189" s="679"/>
      <c r="S189" s="679"/>
    </row>
    <row r="190" spans="1:27" ht="18" customHeight="1">
      <c r="A190" s="701" t="s">
        <v>687</v>
      </c>
      <c r="B190" s="708" t="str">
        <f>IF('2_入力'!O30="","",'2_入力'!O30)</f>
        <v/>
      </c>
      <c r="C190" s="708"/>
      <c r="D190" s="708"/>
      <c r="E190" s="708"/>
      <c r="F190" s="708"/>
      <c r="G190" s="708"/>
      <c r="H190" s="708"/>
      <c r="I190" s="708"/>
      <c r="J190" s="708"/>
      <c r="K190" s="661"/>
      <c r="L190" s="704" t="str">
        <f>'2_入力'!AE30</f>
        <v/>
      </c>
      <c r="M190" s="704"/>
      <c r="N190" s="704"/>
      <c r="O190" s="704"/>
      <c r="P190" s="704"/>
      <c r="Q190" s="704" t="str">
        <f>'2_入力'!AF30&amp;'2_入力'!AG30</f>
        <v/>
      </c>
      <c r="R190" s="704"/>
      <c r="S190" s="704"/>
    </row>
    <row r="191" spans="1:27" ht="18" customHeight="1">
      <c r="A191" s="701"/>
      <c r="B191" s="708"/>
      <c r="C191" s="708"/>
      <c r="D191" s="708"/>
      <c r="E191" s="708"/>
      <c r="F191" s="708"/>
      <c r="G191" s="708"/>
      <c r="H191" s="708"/>
      <c r="I191" s="708"/>
      <c r="J191" s="708"/>
      <c r="K191" s="661"/>
      <c r="L191" s="705" t="s">
        <v>641</v>
      </c>
      <c r="M191" s="705"/>
      <c r="N191" s="705"/>
      <c r="O191" s="707" t="str">
        <f>IF('2_入力'!Z30=0,"",'2_入力'!Z30)</f>
        <v/>
      </c>
      <c r="P191" s="707"/>
      <c r="Q191" s="706" t="s">
        <v>641</v>
      </c>
      <c r="R191" s="706"/>
      <c r="S191" s="680" t="str">
        <f>IF('2_入力'!AC30=0,"",'2_入力'!AC30)</f>
        <v/>
      </c>
    </row>
    <row r="192" spans="1:27" ht="24.75" customHeight="1">
      <c r="A192" s="661"/>
      <c r="B192" s="661"/>
      <c r="C192" s="661"/>
      <c r="D192" s="661"/>
      <c r="E192" s="661"/>
      <c r="F192" s="661"/>
      <c r="G192" s="661"/>
      <c r="H192" s="661"/>
      <c r="I192" s="661"/>
      <c r="J192" s="661"/>
      <c r="K192" s="661"/>
      <c r="L192" s="661"/>
      <c r="M192" s="661"/>
      <c r="N192" s="679"/>
      <c r="O192" s="679"/>
      <c r="P192" s="679"/>
      <c r="Q192" s="679"/>
      <c r="R192" s="679"/>
      <c r="S192" s="679"/>
    </row>
    <row r="193" spans="1:19" ht="11.25" customHeight="1">
      <c r="A193" s="661"/>
      <c r="B193" s="661"/>
      <c r="C193" s="661"/>
      <c r="D193" s="661"/>
      <c r="E193" s="661"/>
      <c r="F193" s="661"/>
      <c r="G193" s="661"/>
      <c r="H193" s="661"/>
      <c r="I193" s="661"/>
      <c r="J193" s="661"/>
      <c r="K193" s="661"/>
      <c r="L193" s="661"/>
      <c r="M193" s="661"/>
    </row>
    <row r="194" spans="1:19" ht="36" customHeight="1">
      <c r="A194" s="671" t="s">
        <v>664</v>
      </c>
      <c r="B194" s="701" t="str">
        <f>IF('2_入力'!E31="","",'2_入力'!E31)</f>
        <v/>
      </c>
      <c r="C194" s="701"/>
      <c r="D194" s="701"/>
      <c r="E194" s="701"/>
      <c r="F194" s="701"/>
      <c r="G194" s="701"/>
      <c r="H194" s="701"/>
      <c r="I194" s="701"/>
      <c r="J194" s="701"/>
      <c r="K194" s="661"/>
      <c r="L194" s="661"/>
      <c r="M194" s="661"/>
    </row>
    <row r="195" spans="1:19" ht="36" customHeight="1">
      <c r="A195" s="675" t="s">
        <v>686</v>
      </c>
      <c r="B195" s="676" t="str">
        <f>IF('2_入力'!G31="","",'2_入力'!G31)</f>
        <v/>
      </c>
      <c r="C195" s="677" t="s">
        <v>688</v>
      </c>
      <c r="D195" s="661"/>
      <c r="E195" s="661"/>
      <c r="F195" s="661"/>
      <c r="G195" s="661"/>
      <c r="H195" s="661"/>
      <c r="I195" s="661"/>
      <c r="J195" s="661"/>
      <c r="K195" s="661"/>
      <c r="L195" s="661"/>
      <c r="M195" s="661"/>
      <c r="O195" s="681"/>
      <c r="P195" s="681"/>
      <c r="Q195" s="682"/>
      <c r="R195" s="682"/>
      <c r="S195" s="683"/>
    </row>
    <row r="196" spans="1:19" ht="36" customHeight="1">
      <c r="A196" s="671" t="s">
        <v>666</v>
      </c>
      <c r="B196" s="701" t="str">
        <f>IF('2_入力'!H31="","",'2_入力'!H31&amp;'2_入力'!I31)</f>
        <v/>
      </c>
      <c r="C196" s="701"/>
      <c r="D196" s="701"/>
      <c r="E196" s="701"/>
      <c r="F196" s="701"/>
      <c r="G196" s="701"/>
      <c r="H196" s="701"/>
      <c r="I196" s="701"/>
      <c r="J196" s="701"/>
      <c r="K196" s="661"/>
      <c r="L196" s="661"/>
      <c r="M196" s="661"/>
      <c r="Q196" s="684"/>
      <c r="R196" s="685"/>
      <c r="S196" s="685"/>
    </row>
    <row r="197" spans="1:19" ht="18" customHeight="1">
      <c r="A197" s="701" t="s">
        <v>687</v>
      </c>
      <c r="B197" s="708" t="str">
        <f>IF('2_入力'!O31="","",'2_入力'!O31)</f>
        <v/>
      </c>
      <c r="C197" s="708"/>
      <c r="D197" s="708"/>
      <c r="E197" s="708"/>
      <c r="F197" s="708"/>
      <c r="G197" s="708"/>
      <c r="H197" s="708"/>
      <c r="I197" s="708"/>
      <c r="J197" s="708"/>
      <c r="K197" s="661"/>
      <c r="L197" s="704" t="str">
        <f>'2_入力'!AE31</f>
        <v/>
      </c>
      <c r="M197" s="704"/>
      <c r="N197" s="704"/>
      <c r="O197" s="704"/>
      <c r="P197" s="704"/>
      <c r="Q197" s="704" t="str">
        <f>'2_入力'!AF31&amp;'2_入力'!AG31</f>
        <v/>
      </c>
      <c r="R197" s="704"/>
      <c r="S197" s="704"/>
    </row>
    <row r="198" spans="1:19" ht="18" customHeight="1">
      <c r="A198" s="701"/>
      <c r="B198" s="708"/>
      <c r="C198" s="708"/>
      <c r="D198" s="708"/>
      <c r="E198" s="708"/>
      <c r="F198" s="708"/>
      <c r="G198" s="708"/>
      <c r="H198" s="708"/>
      <c r="I198" s="708"/>
      <c r="J198" s="708"/>
      <c r="K198" s="661"/>
      <c r="L198" s="705" t="s">
        <v>641</v>
      </c>
      <c r="M198" s="705"/>
      <c r="N198" s="705"/>
      <c r="O198" s="707" t="str">
        <f>IF('2_入力'!Z31=0,"",'2_入力'!Z31)</f>
        <v/>
      </c>
      <c r="P198" s="707"/>
      <c r="Q198" s="706" t="s">
        <v>641</v>
      </c>
      <c r="R198" s="706"/>
      <c r="S198" s="680" t="str">
        <f>IF('2_入力'!AC31=0,"",'2_入力'!AC31)</f>
        <v/>
      </c>
    </row>
    <row r="199" spans="1:19" ht="24.75" customHeight="1">
      <c r="A199" s="661"/>
      <c r="B199" s="661"/>
      <c r="C199" s="661"/>
      <c r="D199" s="661"/>
      <c r="E199" s="661"/>
      <c r="F199" s="661"/>
      <c r="G199" s="661"/>
      <c r="H199" s="661"/>
      <c r="I199" s="661"/>
      <c r="J199" s="661"/>
      <c r="K199" s="661"/>
      <c r="L199" s="661"/>
      <c r="M199" s="664"/>
      <c r="N199" s="664"/>
      <c r="O199" s="686"/>
      <c r="P199" s="686"/>
      <c r="Q199" s="687"/>
      <c r="R199" s="687"/>
      <c r="S199" s="686"/>
    </row>
    <row r="200" spans="1:19" ht="11.25" customHeight="1">
      <c r="A200" s="661"/>
      <c r="B200" s="661"/>
      <c r="C200" s="661"/>
      <c r="D200" s="661"/>
      <c r="E200" s="661"/>
      <c r="F200" s="661"/>
      <c r="G200" s="661"/>
      <c r="H200" s="661"/>
      <c r="I200" s="661"/>
      <c r="J200" s="661"/>
      <c r="K200" s="661"/>
      <c r="L200" s="661"/>
      <c r="M200" s="688"/>
      <c r="N200" s="688"/>
      <c r="Q200" s="684"/>
      <c r="R200" s="689"/>
      <c r="S200" s="689"/>
    </row>
    <row r="201" spans="1:19" ht="36" customHeight="1">
      <c r="A201" s="671" t="s">
        <v>664</v>
      </c>
      <c r="B201" s="701" t="str">
        <f>IF('2_入力'!E32="","",'2_入力'!E32)</f>
        <v/>
      </c>
      <c r="C201" s="701"/>
      <c r="D201" s="701"/>
      <c r="E201" s="701"/>
      <c r="F201" s="701"/>
      <c r="G201" s="701"/>
      <c r="H201" s="701"/>
      <c r="I201" s="701"/>
      <c r="J201" s="701"/>
      <c r="K201" s="661"/>
      <c r="L201" s="661"/>
      <c r="M201" s="669"/>
      <c r="N201" s="669"/>
      <c r="O201" s="690"/>
      <c r="P201" s="690"/>
      <c r="Q201" s="691"/>
      <c r="R201" s="691"/>
      <c r="S201" s="668"/>
    </row>
    <row r="202" spans="1:19" ht="36" customHeight="1">
      <c r="A202" s="675" t="s">
        <v>686</v>
      </c>
      <c r="B202" s="676" t="str">
        <f>IF('2_入力'!G32="","",'2_入力'!G32)</f>
        <v/>
      </c>
      <c r="C202" s="677" t="s">
        <v>688</v>
      </c>
      <c r="D202" s="661"/>
      <c r="E202" s="661"/>
      <c r="F202" s="661"/>
      <c r="G202" s="661"/>
      <c r="H202" s="661"/>
      <c r="I202" s="661"/>
      <c r="J202" s="661"/>
      <c r="K202" s="661"/>
      <c r="L202" s="661"/>
      <c r="M202" s="688"/>
      <c r="N202" s="688"/>
      <c r="Q202" s="684"/>
      <c r="R202" s="685"/>
      <c r="S202" s="685"/>
    </row>
    <row r="203" spans="1:19" ht="36" customHeight="1">
      <c r="A203" s="671" t="s">
        <v>666</v>
      </c>
      <c r="B203" s="701" t="str">
        <f>IF('2_入力'!H32="","",'2_入力'!H32&amp;'2_入力'!I32)</f>
        <v/>
      </c>
      <c r="C203" s="701"/>
      <c r="D203" s="701"/>
      <c r="E203" s="701"/>
      <c r="F203" s="701"/>
      <c r="G203" s="701"/>
      <c r="H203" s="701"/>
      <c r="I203" s="701"/>
      <c r="J203" s="701"/>
      <c r="K203" s="661"/>
      <c r="L203" s="661"/>
      <c r="M203" s="661"/>
    </row>
    <row r="204" spans="1:19" ht="18" customHeight="1">
      <c r="A204" s="701" t="s">
        <v>687</v>
      </c>
      <c r="B204" s="708" t="str">
        <f>IF('2_入力'!O32="","",'2_入力'!O32)</f>
        <v/>
      </c>
      <c r="C204" s="708"/>
      <c r="D204" s="708"/>
      <c r="E204" s="708"/>
      <c r="F204" s="708"/>
      <c r="G204" s="708"/>
      <c r="H204" s="708"/>
      <c r="I204" s="708"/>
      <c r="J204" s="708"/>
      <c r="K204" s="661"/>
      <c r="L204" s="704" t="str">
        <f>'2_入力'!AE32</f>
        <v/>
      </c>
      <c r="M204" s="704"/>
      <c r="N204" s="704"/>
      <c r="O204" s="704"/>
      <c r="P204" s="704"/>
      <c r="Q204" s="704" t="str">
        <f>'2_入力'!AF32&amp;'2_入力'!AG32</f>
        <v/>
      </c>
      <c r="R204" s="704"/>
      <c r="S204" s="704"/>
    </row>
    <row r="205" spans="1:19" ht="18" customHeight="1">
      <c r="A205" s="701"/>
      <c r="B205" s="708"/>
      <c r="C205" s="708"/>
      <c r="D205" s="708"/>
      <c r="E205" s="708"/>
      <c r="F205" s="708"/>
      <c r="G205" s="708"/>
      <c r="H205" s="708"/>
      <c r="I205" s="708"/>
      <c r="J205" s="708"/>
      <c r="K205" s="661"/>
      <c r="L205" s="705" t="s">
        <v>641</v>
      </c>
      <c r="M205" s="705"/>
      <c r="N205" s="705"/>
      <c r="O205" s="707" t="str">
        <f>IF('2_入力'!Z32=0,"",'2_入力'!Z32)</f>
        <v/>
      </c>
      <c r="P205" s="707"/>
      <c r="Q205" s="706" t="s">
        <v>641</v>
      </c>
      <c r="R205" s="706"/>
      <c r="S205" s="680" t="str">
        <f>IF('2_入力'!AC32=0,"",'2_入力'!AC32)</f>
        <v/>
      </c>
    </row>
    <row r="206" spans="1:19" ht="11.25" customHeight="1">
      <c r="A206" s="661"/>
      <c r="B206" s="661"/>
      <c r="C206" s="661"/>
      <c r="D206" s="661"/>
      <c r="E206" s="661"/>
      <c r="F206" s="661"/>
      <c r="G206" s="661"/>
      <c r="H206" s="661"/>
      <c r="I206" s="661"/>
      <c r="J206" s="661"/>
      <c r="K206" s="661"/>
      <c r="L206" s="661"/>
      <c r="M206" s="661"/>
    </row>
    <row r="207" spans="1:19">
      <c r="A207" s="692" t="s">
        <v>798</v>
      </c>
      <c r="B207" s="692"/>
      <c r="C207" s="692"/>
      <c r="D207" s="692"/>
      <c r="E207" s="692"/>
      <c r="F207" s="692"/>
      <c r="G207" s="692"/>
      <c r="H207" s="692"/>
      <c r="I207" s="692"/>
      <c r="J207" s="692"/>
      <c r="K207" s="692"/>
      <c r="L207" s="692"/>
      <c r="M207" s="692"/>
    </row>
    <row r="208" spans="1:19">
      <c r="A208" s="693" t="s">
        <v>797</v>
      </c>
      <c r="B208" s="716" t="s">
        <v>804</v>
      </c>
      <c r="C208" s="716"/>
      <c r="D208" s="716"/>
      <c r="E208" s="716"/>
      <c r="F208" s="716"/>
      <c r="G208" s="692"/>
      <c r="H208" s="692"/>
      <c r="I208" s="713" t="s">
        <v>799</v>
      </c>
      <c r="J208" s="713"/>
      <c r="K208" s="713"/>
      <c r="L208" s="713"/>
      <c r="M208" s="709" t="s">
        <v>801</v>
      </c>
      <c r="N208" s="709"/>
      <c r="O208" s="709"/>
      <c r="P208" s="709"/>
      <c r="Q208" s="709"/>
      <c r="R208" s="709"/>
      <c r="S208" s="709"/>
    </row>
    <row r="209" spans="1:19" ht="11.25" customHeight="1">
      <c r="A209" s="693" t="s">
        <v>795</v>
      </c>
      <c r="B209" s="715" t="s">
        <v>805</v>
      </c>
      <c r="C209" s="715"/>
      <c r="D209" s="715"/>
      <c r="E209" s="715"/>
      <c r="F209" s="715"/>
      <c r="G209" s="692"/>
      <c r="H209" s="692"/>
      <c r="I209" s="713" t="s">
        <v>795</v>
      </c>
      <c r="J209" s="713"/>
      <c r="K209" s="713"/>
      <c r="L209" s="713"/>
      <c r="M209" s="709" t="s">
        <v>800</v>
      </c>
      <c r="N209" s="709"/>
      <c r="O209" s="709"/>
      <c r="P209" s="709"/>
      <c r="Q209" s="709"/>
      <c r="R209" s="709"/>
      <c r="S209" s="709"/>
    </row>
    <row r="210" spans="1:19" ht="11.25" customHeight="1">
      <c r="A210" s="693" t="s">
        <v>796</v>
      </c>
      <c r="B210" s="715" t="s">
        <v>806</v>
      </c>
      <c r="C210" s="715"/>
      <c r="D210" s="715"/>
      <c r="E210" s="715"/>
      <c r="F210" s="715"/>
      <c r="G210" s="692"/>
      <c r="H210" s="692"/>
      <c r="I210" s="713" t="s">
        <v>796</v>
      </c>
      <c r="J210" s="713"/>
      <c r="K210" s="713"/>
      <c r="L210" s="713"/>
      <c r="M210" s="709" t="s">
        <v>802</v>
      </c>
      <c r="N210" s="709"/>
      <c r="O210" s="709"/>
      <c r="P210" s="709"/>
      <c r="Q210" s="709"/>
      <c r="R210" s="709"/>
      <c r="S210" s="709"/>
    </row>
    <row r="211" spans="1:19">
      <c r="A211" s="692"/>
      <c r="B211" s="692"/>
      <c r="C211" s="692"/>
      <c r="D211" s="692"/>
      <c r="E211" s="692"/>
      <c r="F211" s="692"/>
      <c r="G211" s="692"/>
      <c r="H211" s="692"/>
      <c r="I211" s="692"/>
      <c r="J211" s="692"/>
      <c r="K211" s="692"/>
      <c r="L211" s="692"/>
      <c r="M211" s="692"/>
    </row>
    <row r="212" spans="1:19">
      <c r="A212" s="661"/>
      <c r="B212" s="661"/>
      <c r="C212" s="661"/>
      <c r="D212" s="661"/>
      <c r="E212" s="661"/>
      <c r="F212" s="661"/>
      <c r="G212" s="661"/>
      <c r="H212" s="661"/>
      <c r="I212" s="661"/>
      <c r="J212" s="661"/>
      <c r="K212" s="661"/>
      <c r="L212" s="661"/>
      <c r="M212" s="661"/>
    </row>
    <row r="213" spans="1:19" ht="15" customHeight="1">
      <c r="A213" s="661"/>
      <c r="B213" s="661"/>
      <c r="C213" s="661"/>
      <c r="D213" s="661"/>
      <c r="E213" s="661"/>
      <c r="F213" s="661"/>
      <c r="G213" s="661"/>
      <c r="H213" s="661"/>
      <c r="I213" s="661"/>
      <c r="J213" s="661"/>
      <c r="K213" s="661"/>
      <c r="L213" s="661"/>
      <c r="M213" s="661"/>
    </row>
  </sheetData>
  <sheetProtection password="8037" sheet="1" objects="1" scenarios="1" selectLockedCells="1" selectUnlockedCells="1"/>
  <mergeCells count="256">
    <mergeCell ref="B209:F209"/>
    <mergeCell ref="I209:L209"/>
    <mergeCell ref="M209:S209"/>
    <mergeCell ref="B210:F210"/>
    <mergeCell ref="I210:L210"/>
    <mergeCell ref="M210:S210"/>
    <mergeCell ref="Q204:S204"/>
    <mergeCell ref="L205:N205"/>
    <mergeCell ref="O205:P205"/>
    <mergeCell ref="Q205:R205"/>
    <mergeCell ref="B208:F208"/>
    <mergeCell ref="I208:L208"/>
    <mergeCell ref="M208:S208"/>
    <mergeCell ref="B201:J201"/>
    <mergeCell ref="B203:J203"/>
    <mergeCell ref="A204:A205"/>
    <mergeCell ref="B204:J205"/>
    <mergeCell ref="L204:P204"/>
    <mergeCell ref="B196:J196"/>
    <mergeCell ref="A197:A198"/>
    <mergeCell ref="B197:J198"/>
    <mergeCell ref="L197:P197"/>
    <mergeCell ref="Q197:S197"/>
    <mergeCell ref="L198:N198"/>
    <mergeCell ref="O198:P198"/>
    <mergeCell ref="Q198:R198"/>
    <mergeCell ref="Q190:S190"/>
    <mergeCell ref="L191:N191"/>
    <mergeCell ref="O191:P191"/>
    <mergeCell ref="Q191:R191"/>
    <mergeCell ref="B194:J194"/>
    <mergeCell ref="B187:J187"/>
    <mergeCell ref="B189:J189"/>
    <mergeCell ref="A190:A191"/>
    <mergeCell ref="B190:J191"/>
    <mergeCell ref="L190:P190"/>
    <mergeCell ref="A183:A184"/>
    <mergeCell ref="B183:J184"/>
    <mergeCell ref="L183:P183"/>
    <mergeCell ref="Q183:S183"/>
    <mergeCell ref="L184:N184"/>
    <mergeCell ref="O184:P184"/>
    <mergeCell ref="Q184:R184"/>
    <mergeCell ref="A179:A180"/>
    <mergeCell ref="B179:B180"/>
    <mergeCell ref="C179:C180"/>
    <mergeCell ref="D179:J180"/>
    <mergeCell ref="A181:A182"/>
    <mergeCell ref="B181:J182"/>
    <mergeCell ref="B168:F168"/>
    <mergeCell ref="I168:L168"/>
    <mergeCell ref="M168:S168"/>
    <mergeCell ref="A177:A178"/>
    <mergeCell ref="B177:J178"/>
    <mergeCell ref="B166:F166"/>
    <mergeCell ref="I166:L166"/>
    <mergeCell ref="M166:S166"/>
    <mergeCell ref="B167:F167"/>
    <mergeCell ref="I167:L167"/>
    <mergeCell ref="M167:S167"/>
    <mergeCell ref="B161:J161"/>
    <mergeCell ref="A162:A163"/>
    <mergeCell ref="B162:J163"/>
    <mergeCell ref="L162:P162"/>
    <mergeCell ref="Q162:S162"/>
    <mergeCell ref="L163:N163"/>
    <mergeCell ref="O163:P163"/>
    <mergeCell ref="Q163:R163"/>
    <mergeCell ref="Q155:S155"/>
    <mergeCell ref="L156:N156"/>
    <mergeCell ref="O156:P156"/>
    <mergeCell ref="Q156:R156"/>
    <mergeCell ref="B159:J159"/>
    <mergeCell ref="B152:J152"/>
    <mergeCell ref="B154:J154"/>
    <mergeCell ref="A155:A156"/>
    <mergeCell ref="B155:J156"/>
    <mergeCell ref="L155:P155"/>
    <mergeCell ref="B147:J147"/>
    <mergeCell ref="A148:A149"/>
    <mergeCell ref="B148:J149"/>
    <mergeCell ref="L148:P148"/>
    <mergeCell ref="Q148:S148"/>
    <mergeCell ref="L149:N149"/>
    <mergeCell ref="O149:P149"/>
    <mergeCell ref="Q149:R149"/>
    <mergeCell ref="Q141:S141"/>
    <mergeCell ref="L142:N142"/>
    <mergeCell ref="O142:P142"/>
    <mergeCell ref="Q142:R142"/>
    <mergeCell ref="B145:J145"/>
    <mergeCell ref="A139:A140"/>
    <mergeCell ref="B139:J140"/>
    <mergeCell ref="A141:A142"/>
    <mergeCell ref="B141:J142"/>
    <mergeCell ref="L141:P141"/>
    <mergeCell ref="A135:A136"/>
    <mergeCell ref="B135:J136"/>
    <mergeCell ref="A137:A138"/>
    <mergeCell ref="B137:B138"/>
    <mergeCell ref="C137:C138"/>
    <mergeCell ref="D137:J138"/>
    <mergeCell ref="B125:F125"/>
    <mergeCell ref="I125:L125"/>
    <mergeCell ref="M125:S125"/>
    <mergeCell ref="B126:F126"/>
    <mergeCell ref="I126:L126"/>
    <mergeCell ref="M126:S126"/>
    <mergeCell ref="Q120:S120"/>
    <mergeCell ref="L121:N121"/>
    <mergeCell ref="O121:P121"/>
    <mergeCell ref="Q121:R121"/>
    <mergeCell ref="B124:F124"/>
    <mergeCell ref="I124:L124"/>
    <mergeCell ref="M124:S124"/>
    <mergeCell ref="B117:J117"/>
    <mergeCell ref="B119:J119"/>
    <mergeCell ref="A120:A121"/>
    <mergeCell ref="B120:J121"/>
    <mergeCell ref="L120:P120"/>
    <mergeCell ref="B112:J112"/>
    <mergeCell ref="A113:A114"/>
    <mergeCell ref="B113:J114"/>
    <mergeCell ref="L113:P113"/>
    <mergeCell ref="Q113:S113"/>
    <mergeCell ref="L114:N114"/>
    <mergeCell ref="O114:P114"/>
    <mergeCell ref="Q114:R114"/>
    <mergeCell ref="Q106:S106"/>
    <mergeCell ref="L107:N107"/>
    <mergeCell ref="O107:P107"/>
    <mergeCell ref="Q107:R107"/>
    <mergeCell ref="B110:J110"/>
    <mergeCell ref="B103:J103"/>
    <mergeCell ref="B105:J105"/>
    <mergeCell ref="A106:A107"/>
    <mergeCell ref="B106:J107"/>
    <mergeCell ref="L106:P106"/>
    <mergeCell ref="A99:A100"/>
    <mergeCell ref="B99:J100"/>
    <mergeCell ref="L99:P99"/>
    <mergeCell ref="Q99:S99"/>
    <mergeCell ref="L100:N100"/>
    <mergeCell ref="O100:P100"/>
    <mergeCell ref="Q100:R100"/>
    <mergeCell ref="A95:A96"/>
    <mergeCell ref="B95:B96"/>
    <mergeCell ref="C95:C96"/>
    <mergeCell ref="D95:J96"/>
    <mergeCell ref="A97:A98"/>
    <mergeCell ref="B97:J98"/>
    <mergeCell ref="B84:F84"/>
    <mergeCell ref="I84:L84"/>
    <mergeCell ref="M84:S84"/>
    <mergeCell ref="A93:A94"/>
    <mergeCell ref="B93:J94"/>
    <mergeCell ref="B82:F82"/>
    <mergeCell ref="I82:L82"/>
    <mergeCell ref="M82:S82"/>
    <mergeCell ref="B83:F83"/>
    <mergeCell ref="I83:L83"/>
    <mergeCell ref="M83:S83"/>
    <mergeCell ref="B77:J77"/>
    <mergeCell ref="A78:A79"/>
    <mergeCell ref="B78:J79"/>
    <mergeCell ref="L78:P78"/>
    <mergeCell ref="Q78:S78"/>
    <mergeCell ref="L79:N79"/>
    <mergeCell ref="O79:P79"/>
    <mergeCell ref="Q79:R79"/>
    <mergeCell ref="Q71:S71"/>
    <mergeCell ref="L72:N72"/>
    <mergeCell ref="O72:P72"/>
    <mergeCell ref="Q72:R72"/>
    <mergeCell ref="B75:J75"/>
    <mergeCell ref="B68:J68"/>
    <mergeCell ref="B70:J70"/>
    <mergeCell ref="A71:A72"/>
    <mergeCell ref="B71:J72"/>
    <mergeCell ref="L71:P71"/>
    <mergeCell ref="B63:J63"/>
    <mergeCell ref="A64:A65"/>
    <mergeCell ref="B64:J65"/>
    <mergeCell ref="L64:P64"/>
    <mergeCell ref="Q64:S64"/>
    <mergeCell ref="L65:N65"/>
    <mergeCell ref="O65:P65"/>
    <mergeCell ref="Q65:R65"/>
    <mergeCell ref="Q57:S57"/>
    <mergeCell ref="L58:N58"/>
    <mergeCell ref="O58:P58"/>
    <mergeCell ref="Q58:R58"/>
    <mergeCell ref="B61:J61"/>
    <mergeCell ref="A55:A56"/>
    <mergeCell ref="B55:J56"/>
    <mergeCell ref="A57:A58"/>
    <mergeCell ref="B57:J58"/>
    <mergeCell ref="L57:P57"/>
    <mergeCell ref="A51:A52"/>
    <mergeCell ref="B51:J52"/>
    <mergeCell ref="A53:A54"/>
    <mergeCell ref="B53:B54"/>
    <mergeCell ref="C53:C54"/>
    <mergeCell ref="D53:J54"/>
    <mergeCell ref="M40:S40"/>
    <mergeCell ref="M41:S41"/>
    <mergeCell ref="B40:F40"/>
    <mergeCell ref="B41:F41"/>
    <mergeCell ref="I39:L39"/>
    <mergeCell ref="I40:L40"/>
    <mergeCell ref="I41:L41"/>
    <mergeCell ref="Q35:S35"/>
    <mergeCell ref="L36:N36"/>
    <mergeCell ref="O36:P36"/>
    <mergeCell ref="Q36:R36"/>
    <mergeCell ref="B39:F39"/>
    <mergeCell ref="M39:S39"/>
    <mergeCell ref="Q15:R15"/>
    <mergeCell ref="B32:J32"/>
    <mergeCell ref="B34:J34"/>
    <mergeCell ref="A35:A36"/>
    <mergeCell ref="B35:J36"/>
    <mergeCell ref="L35:P35"/>
    <mergeCell ref="A28:A29"/>
    <mergeCell ref="B25:J25"/>
    <mergeCell ref="B27:J27"/>
    <mergeCell ref="B28:J29"/>
    <mergeCell ref="L28:P28"/>
    <mergeCell ref="L29:N29"/>
    <mergeCell ref="O29:P29"/>
    <mergeCell ref="Q28:S28"/>
    <mergeCell ref="Q29:R29"/>
    <mergeCell ref="C4:S4"/>
    <mergeCell ref="A8:A9"/>
    <mergeCell ref="A10:A11"/>
    <mergeCell ref="A12:A13"/>
    <mergeCell ref="A14:A15"/>
    <mergeCell ref="C10:C11"/>
    <mergeCell ref="B10:B11"/>
    <mergeCell ref="L21:P21"/>
    <mergeCell ref="L22:N22"/>
    <mergeCell ref="Q21:S21"/>
    <mergeCell ref="Q22:R22"/>
    <mergeCell ref="O22:P22"/>
    <mergeCell ref="B8:J9"/>
    <mergeCell ref="B18:J18"/>
    <mergeCell ref="A21:A22"/>
    <mergeCell ref="B20:J20"/>
    <mergeCell ref="B21:J22"/>
    <mergeCell ref="B14:J15"/>
    <mergeCell ref="D10:J11"/>
    <mergeCell ref="B12:J13"/>
    <mergeCell ref="L14:P14"/>
    <mergeCell ref="Q14:S14"/>
    <mergeCell ref="L15:N15"/>
    <mergeCell ref="O15:P15"/>
  </mergeCells>
  <phoneticPr fontId="64"/>
  <printOptions horizontalCentered="1" verticalCentered="1"/>
  <pageMargins left="0" right="0" top="0" bottom="0" header="0.31496062992125984" footer="0.31496062992125984"/>
  <pageSetup paperSize="9" scale="95" orientation="portrait" r:id="rId1"/>
  <rowBreaks count="3" manualBreakCount="3">
    <brk id="87" max="16383" man="1"/>
    <brk id="129" max="16383" man="1"/>
    <brk id="171"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X73"/>
  <sheetViews>
    <sheetView showGridLines="0" showRowColHeaders="0" tabSelected="1" zoomScaleNormal="100" workbookViewId="0">
      <selection activeCell="F9" sqref="F9:G9"/>
    </sheetView>
  </sheetViews>
  <sheetFormatPr defaultRowHeight="13.5"/>
  <cols>
    <col min="1" max="2" width="2.125" customWidth="1"/>
    <col min="3" max="3" width="2" customWidth="1"/>
    <col min="4" max="5" width="1.625" customWidth="1"/>
    <col min="6" max="6" width="18.75" customWidth="1"/>
    <col min="7" max="7" width="8" customWidth="1"/>
    <col min="8" max="8" width="7.625" customWidth="1"/>
    <col min="9" max="9" width="17.25" customWidth="1"/>
    <col min="10" max="10" width="9.625" customWidth="1"/>
    <col min="11" max="11" width="7.625" customWidth="1"/>
    <col min="12" max="12" width="25.5" customWidth="1"/>
    <col min="13" max="13" width="9.625" customWidth="1"/>
    <col min="14" max="14" width="7.625" customWidth="1"/>
    <col min="16" max="16" width="22.25" customWidth="1"/>
    <col min="17" max="17" width="5.75" customWidth="1"/>
    <col min="18" max="24" width="9" hidden="1" customWidth="1"/>
    <col min="25" max="25" width="16.5" hidden="1" customWidth="1"/>
    <col min="26" max="26" width="9" hidden="1" customWidth="1"/>
    <col min="27" max="27" width="17.125" hidden="1" customWidth="1"/>
    <col min="28" max="28" width="17" hidden="1" customWidth="1"/>
    <col min="29" max="30" width="9" hidden="1" customWidth="1"/>
    <col min="31" max="31" width="18.5" hidden="1" customWidth="1"/>
    <col min="32" max="50" width="9" hidden="1" customWidth="1"/>
    <col min="51" max="52" width="0" hidden="1" customWidth="1"/>
  </cols>
  <sheetData>
    <row r="2" spans="3:50">
      <c r="C2" s="724"/>
      <c r="D2" s="724"/>
      <c r="E2" s="254" t="s">
        <v>265</v>
      </c>
      <c r="G2" s="254"/>
      <c r="H2" s="252"/>
      <c r="I2" s="252"/>
      <c r="J2" s="252"/>
      <c r="K2" s="252"/>
      <c r="AB2" s="511" t="s">
        <v>608</v>
      </c>
      <c r="AC2" s="511" t="s">
        <v>656</v>
      </c>
      <c r="AD2" s="511" t="s">
        <v>609</v>
      </c>
      <c r="AE2" s="511" t="s">
        <v>655</v>
      </c>
      <c r="AF2" s="511" t="s">
        <v>611</v>
      </c>
      <c r="AG2" s="511" t="s">
        <v>610</v>
      </c>
      <c r="AH2" s="511" t="s">
        <v>49</v>
      </c>
      <c r="AI2" s="511" t="s">
        <v>50</v>
      </c>
      <c r="AJ2" s="652" t="s">
        <v>674</v>
      </c>
      <c r="AK2" s="652" t="s">
        <v>675</v>
      </c>
      <c r="AL2" s="652" t="s">
        <v>676</v>
      </c>
      <c r="AM2" s="652" t="s">
        <v>677</v>
      </c>
      <c r="AO2" s="297">
        <v>0.1</v>
      </c>
      <c r="AP2" s="256">
        <v>0.2</v>
      </c>
      <c r="AQ2" s="256">
        <v>0.3</v>
      </c>
      <c r="AR2" s="256">
        <v>0.4</v>
      </c>
      <c r="AS2" s="256">
        <v>0.5</v>
      </c>
      <c r="AT2" s="256">
        <v>0.6</v>
      </c>
      <c r="AU2" s="256">
        <v>0.7</v>
      </c>
      <c r="AV2" s="256">
        <v>0.8</v>
      </c>
      <c r="AW2" s="256">
        <v>0.9</v>
      </c>
      <c r="AX2" s="256">
        <v>1</v>
      </c>
    </row>
    <row r="3" spans="3:50">
      <c r="C3" s="725"/>
      <c r="D3" s="725"/>
      <c r="E3" s="254" t="s">
        <v>268</v>
      </c>
      <c r="G3" s="254"/>
      <c r="H3" s="252"/>
      <c r="I3" s="252"/>
      <c r="J3" s="252"/>
      <c r="K3" s="252"/>
      <c r="AJ3" s="256"/>
      <c r="AK3" s="365" t="s">
        <v>383</v>
      </c>
      <c r="AL3" s="365" t="s">
        <v>384</v>
      </c>
      <c r="AM3" s="256" t="s">
        <v>385</v>
      </c>
      <c r="AO3" s="297" t="s">
        <v>304</v>
      </c>
      <c r="AP3" s="256" t="s">
        <v>305</v>
      </c>
      <c r="AQ3" s="256" t="s">
        <v>306</v>
      </c>
      <c r="AR3" s="256" t="s">
        <v>307</v>
      </c>
      <c r="AS3" s="256" t="s">
        <v>308</v>
      </c>
      <c r="AT3" s="256" t="s">
        <v>309</v>
      </c>
      <c r="AU3" s="256" t="s">
        <v>310</v>
      </c>
      <c r="AV3" s="256" t="s">
        <v>311</v>
      </c>
      <c r="AW3" s="256" t="s">
        <v>312</v>
      </c>
      <c r="AX3" s="256" t="s">
        <v>313</v>
      </c>
    </row>
    <row r="4" spans="3:50">
      <c r="C4" s="726"/>
      <c r="D4" s="726"/>
      <c r="E4" s="254" t="s">
        <v>269</v>
      </c>
      <c r="G4" s="254"/>
      <c r="H4" s="252"/>
      <c r="I4" s="252"/>
      <c r="J4" s="252"/>
      <c r="K4" s="252"/>
      <c r="AJ4" s="256"/>
      <c r="AK4" s="365" t="s">
        <v>494</v>
      </c>
      <c r="AL4" s="365" t="s">
        <v>387</v>
      </c>
      <c r="AM4" s="256" t="s">
        <v>388</v>
      </c>
    </row>
    <row r="5" spans="3:50">
      <c r="C5" s="727"/>
      <c r="D5" s="727"/>
      <c r="E5" s="262"/>
      <c r="G5" s="262"/>
      <c r="H5" s="252"/>
      <c r="I5" s="252"/>
      <c r="J5" s="252"/>
      <c r="K5" s="252"/>
      <c r="AK5" s="365" t="s">
        <v>389</v>
      </c>
      <c r="AL5" s="365" t="s">
        <v>503</v>
      </c>
      <c r="AM5" s="256" t="s">
        <v>390</v>
      </c>
    </row>
    <row r="6" spans="3:50">
      <c r="AK6" s="365" t="s">
        <v>391</v>
      </c>
      <c r="AL6" s="365" t="s">
        <v>392</v>
      </c>
      <c r="AM6" s="286" t="s">
        <v>393</v>
      </c>
    </row>
    <row r="7" spans="3:50" ht="18" customHeight="1">
      <c r="C7" s="282" t="s">
        <v>661</v>
      </c>
      <c r="AK7" s="365" t="s">
        <v>394</v>
      </c>
      <c r="AL7" s="365" t="s">
        <v>395</v>
      </c>
      <c r="AM7" s="700" t="s">
        <v>807</v>
      </c>
    </row>
    <row r="8" spans="3:50">
      <c r="AK8" s="365" t="s">
        <v>397</v>
      </c>
      <c r="AL8" s="365" t="s">
        <v>398</v>
      </c>
      <c r="AM8" s="365" t="s">
        <v>399</v>
      </c>
    </row>
    <row r="9" spans="3:50" ht="21.95" customHeight="1">
      <c r="C9" s="32" t="s">
        <v>662</v>
      </c>
      <c r="D9" s="32"/>
      <c r="E9" s="32"/>
      <c r="F9" s="719"/>
      <c r="G9" s="719"/>
      <c r="H9" s="32"/>
      <c r="I9" s="32"/>
      <c r="J9" s="32"/>
      <c r="K9" s="32"/>
      <c r="L9" s="32"/>
      <c r="M9" s="32"/>
      <c r="N9" s="32"/>
      <c r="O9" s="32"/>
      <c r="P9" s="32"/>
      <c r="Q9" s="32"/>
      <c r="R9" s="32"/>
      <c r="S9" s="32"/>
      <c r="T9" s="32"/>
      <c r="U9" s="32"/>
      <c r="V9" s="32"/>
      <c r="W9" s="32"/>
      <c r="X9" s="32"/>
      <c r="AC9" s="32"/>
      <c r="AD9" s="32"/>
      <c r="AJ9" s="32"/>
      <c r="AK9" s="365" t="s">
        <v>400</v>
      </c>
      <c r="AL9" s="365" t="s">
        <v>401</v>
      </c>
      <c r="AM9" s="365" t="s">
        <v>402</v>
      </c>
    </row>
    <row r="10" spans="3:50" ht="24" customHeight="1">
      <c r="C10" s="32"/>
      <c r="D10" s="32"/>
      <c r="E10" s="32"/>
      <c r="F10" s="32"/>
      <c r="G10" s="32"/>
      <c r="H10" s="32"/>
      <c r="I10" s="32"/>
      <c r="J10" s="32"/>
      <c r="K10" s="32"/>
      <c r="L10" s="32"/>
      <c r="M10" s="32"/>
      <c r="N10" s="32"/>
      <c r="O10" s="32"/>
      <c r="P10" s="32"/>
      <c r="Q10" s="32"/>
      <c r="R10" s="32"/>
      <c r="S10" s="32"/>
      <c r="T10" s="32"/>
      <c r="U10" s="32"/>
      <c r="V10" s="32"/>
      <c r="W10" s="32"/>
      <c r="X10" s="32"/>
      <c r="AC10" s="32"/>
      <c r="AD10" s="32"/>
      <c r="AJ10" s="32"/>
      <c r="AK10" s="32"/>
      <c r="AL10" s="32"/>
      <c r="AM10" s="365" t="s">
        <v>403</v>
      </c>
    </row>
    <row r="11" spans="3:50" ht="20.100000000000001" customHeight="1">
      <c r="C11" s="729" t="s">
        <v>663</v>
      </c>
      <c r="D11" s="729"/>
      <c r="E11" s="730" t="s">
        <v>664</v>
      </c>
      <c r="F11" s="731"/>
      <c r="G11" s="728" t="s">
        <v>665</v>
      </c>
      <c r="H11" s="729" t="s">
        <v>666</v>
      </c>
      <c r="I11" s="729"/>
      <c r="J11" s="729" t="s">
        <v>669</v>
      </c>
      <c r="K11" s="729"/>
      <c r="L11" s="729" t="s">
        <v>670</v>
      </c>
      <c r="M11" s="729"/>
      <c r="N11" s="729"/>
      <c r="O11" s="729" t="s">
        <v>671</v>
      </c>
      <c r="P11" s="729"/>
      <c r="Q11" s="251"/>
      <c r="R11" s="720" t="s">
        <v>685</v>
      </c>
      <c r="S11" s="720" t="s">
        <v>679</v>
      </c>
      <c r="T11" s="720"/>
      <c r="U11" s="720"/>
      <c r="V11" s="720"/>
      <c r="W11" s="720" t="s">
        <v>690</v>
      </c>
      <c r="X11" s="720"/>
      <c r="Y11" s="721" t="s">
        <v>641</v>
      </c>
      <c r="Z11" s="721"/>
      <c r="AA11" s="721"/>
      <c r="AB11" s="721"/>
      <c r="AC11" s="721"/>
      <c r="AD11" s="721"/>
      <c r="AE11" s="721" t="s">
        <v>684</v>
      </c>
      <c r="AF11" s="721"/>
      <c r="AG11" s="721"/>
      <c r="AJ11" s="32"/>
      <c r="AK11" s="32"/>
      <c r="AL11" s="32"/>
      <c r="AM11" s="365" t="s">
        <v>517</v>
      </c>
    </row>
    <row r="12" spans="3:50" ht="63.95" customHeight="1">
      <c r="C12" s="729"/>
      <c r="D12" s="729"/>
      <c r="E12" s="732"/>
      <c r="F12" s="733"/>
      <c r="G12" s="728"/>
      <c r="H12" s="729"/>
      <c r="I12" s="729"/>
      <c r="J12" s="484" t="s">
        <v>667</v>
      </c>
      <c r="K12" s="484" t="s">
        <v>641</v>
      </c>
      <c r="L12" s="484" t="s">
        <v>803</v>
      </c>
      <c r="M12" s="484" t="s">
        <v>668</v>
      </c>
      <c r="N12" s="484" t="s">
        <v>641</v>
      </c>
      <c r="O12" s="729"/>
      <c r="P12" s="729"/>
      <c r="Q12" s="251"/>
      <c r="R12" s="720"/>
      <c r="S12" s="720" t="s">
        <v>680</v>
      </c>
      <c r="T12" s="720"/>
      <c r="U12" s="720" t="s">
        <v>681</v>
      </c>
      <c r="V12" s="720"/>
      <c r="W12" s="720"/>
      <c r="X12" s="720"/>
      <c r="Y12" s="721" t="s">
        <v>680</v>
      </c>
      <c r="Z12" s="721"/>
      <c r="AA12" s="721"/>
      <c r="AB12" s="721" t="s">
        <v>681</v>
      </c>
      <c r="AC12" s="721"/>
      <c r="AD12" s="721"/>
      <c r="AE12" s="112" t="s">
        <v>680</v>
      </c>
      <c r="AF12" s="721" t="s">
        <v>681</v>
      </c>
      <c r="AG12" s="721"/>
      <c r="AJ12" s="32"/>
      <c r="AK12" s="32"/>
      <c r="AL12" s="32"/>
      <c r="AM12" s="365" t="s">
        <v>404</v>
      </c>
    </row>
    <row r="13" spans="3:50" ht="21.95" customHeight="1">
      <c r="C13" s="723">
        <v>1</v>
      </c>
      <c r="D13" s="723"/>
      <c r="E13" s="717"/>
      <c r="F13" s="718"/>
      <c r="G13" s="657"/>
      <c r="H13" s="658"/>
      <c r="I13" s="229"/>
      <c r="J13" s="659"/>
      <c r="K13" s="660"/>
      <c r="L13" s="658"/>
      <c r="M13" s="659"/>
      <c r="N13" s="660"/>
      <c r="O13" s="722"/>
      <c r="P13" s="722"/>
      <c r="Q13" s="656"/>
      <c r="R13" s="35" t="str">
        <f>"★"&amp;H13</f>
        <v>★</v>
      </c>
      <c r="S13" s="35" t="s">
        <v>691</v>
      </c>
      <c r="T13" s="35" t="str">
        <f>IF(J13="","★非表示",IF(J13="A","★★★",IF(J13="B","★★","★")))</f>
        <v>★非表示</v>
      </c>
      <c r="U13" s="35" t="s">
        <v>711</v>
      </c>
      <c r="V13" s="35" t="str">
        <f>IF(L13="","★非表示",IF(L13=$AD$2,"★★★",IF(OR(L13=$AE$2,L13=$AB$2,L13=$AC$2),"★★","★")))</f>
        <v>★非表示</v>
      </c>
      <c r="W13" s="35" t="s">
        <v>731</v>
      </c>
      <c r="X13" s="35" t="str">
        <f>IF(M13="","制御なし","制御あり")</f>
        <v>制御なし</v>
      </c>
      <c r="Y13" s="485" t="s">
        <v>751</v>
      </c>
      <c r="Z13" s="242">
        <f>K13</f>
        <v>0</v>
      </c>
      <c r="AA13" s="485" t="str">
        <f>IF(Z13=0,"割合0",HLOOKUP(Z13,$AO$2:$AX$3,2,FALSE))</f>
        <v>割合0</v>
      </c>
      <c r="AB13" s="485" t="s">
        <v>771</v>
      </c>
      <c r="AC13" s="242">
        <f t="shared" ref="AC13:AC32" si="0">N13</f>
        <v>0</v>
      </c>
      <c r="AD13" s="35" t="str">
        <f>IF(AC13=0,"割合0",HLOOKUP(AC13,$AO$2:$AX$3,2,FALSE))</f>
        <v>割合0</v>
      </c>
      <c r="AE13" s="485" t="str">
        <f t="shared" ref="AE13:AE32" si="1">IF(T13="★非表示","",IF(T13="★★","高効率形空調機",IF(T13="★★★","超高効率形空調機",IF(T13="★","従来形空調機"))))</f>
        <v/>
      </c>
      <c r="AF13" s="485" t="str">
        <f t="shared" ref="AF13:AF32" si="2">IF(V13="★非表示","",IF(OR(AND(L13=$AE$2,AC13&gt;=0.5),AND(L13=$AD$2,AC13&gt;=0.5)),"LED照明",IF(V13="★★","高効率照明","従来型照明")))</f>
        <v/>
      </c>
      <c r="AG13" s="485" t="str">
        <f t="shared" ref="AG13:AG32" si="3">IF(M13="","","(調光あり)")</f>
        <v/>
      </c>
      <c r="AJ13" s="32"/>
      <c r="AK13" s="32"/>
      <c r="AL13" s="32"/>
      <c r="AM13" s="365" t="s">
        <v>405</v>
      </c>
    </row>
    <row r="14" spans="3:50" ht="21.95" customHeight="1">
      <c r="C14" s="723">
        <v>2</v>
      </c>
      <c r="D14" s="723"/>
      <c r="E14" s="717"/>
      <c r="F14" s="718"/>
      <c r="G14" s="657"/>
      <c r="H14" s="658"/>
      <c r="I14" s="229"/>
      <c r="J14" s="659"/>
      <c r="K14" s="660"/>
      <c r="L14" s="658"/>
      <c r="M14" s="659"/>
      <c r="N14" s="660"/>
      <c r="O14" s="722"/>
      <c r="P14" s="722"/>
      <c r="Q14" s="656"/>
      <c r="R14" s="35" t="str">
        <f t="shared" ref="R14:R32" si="4">"★"&amp;H14</f>
        <v>★</v>
      </c>
      <c r="S14" s="35" t="s">
        <v>692</v>
      </c>
      <c r="T14" s="35" t="str">
        <f t="shared" ref="T14:T32" si="5">IF(J14="","★非表示",IF(J14="A","★★★",IF(J14="B","★★","★")))</f>
        <v>★非表示</v>
      </c>
      <c r="U14" s="35" t="s">
        <v>712</v>
      </c>
      <c r="V14" s="35" t="str">
        <f t="shared" ref="V14:V32" si="6">IF(L14="","★非表示",IF(L14=$AD$2,"★★★",IF(OR(L14=$AE$2,L14=$AB$2,L14=$AC$2),"★★","★")))</f>
        <v>★非表示</v>
      </c>
      <c r="W14" s="35" t="s">
        <v>732</v>
      </c>
      <c r="X14" s="35" t="str">
        <f t="shared" ref="X14:X32" si="7">IF(M14="","制御なし","制御あり")</f>
        <v>制御なし</v>
      </c>
      <c r="Y14" s="651" t="s">
        <v>752</v>
      </c>
      <c r="Z14" s="242">
        <f t="shared" ref="Z14:Z32" si="8">K14</f>
        <v>0</v>
      </c>
      <c r="AA14" s="651" t="str">
        <f t="shared" ref="AA14:AA32" si="9">IF(Z14=0,"割合0",HLOOKUP(Z14,$AO$2:$AX$3,2,FALSE))</f>
        <v>割合0</v>
      </c>
      <c r="AB14" s="651" t="s">
        <v>772</v>
      </c>
      <c r="AC14" s="242">
        <f t="shared" si="0"/>
        <v>0</v>
      </c>
      <c r="AD14" s="35" t="str">
        <f t="shared" ref="AD14:AD32" si="10">IF(AC14=0,"割合0",HLOOKUP(AC14,$AO$2:$AX$3,2,FALSE))</f>
        <v>割合0</v>
      </c>
      <c r="AE14" s="485" t="str">
        <f t="shared" si="1"/>
        <v/>
      </c>
      <c r="AF14" s="485" t="str">
        <f t="shared" si="2"/>
        <v/>
      </c>
      <c r="AG14" s="485" t="str">
        <f t="shared" si="3"/>
        <v/>
      </c>
      <c r="AJ14" s="32"/>
      <c r="AK14" s="32"/>
      <c r="AL14" s="32"/>
      <c r="AM14" s="256" t="s">
        <v>406</v>
      </c>
    </row>
    <row r="15" spans="3:50" ht="21.95" customHeight="1">
      <c r="C15" s="723">
        <v>3</v>
      </c>
      <c r="D15" s="723"/>
      <c r="E15" s="717"/>
      <c r="F15" s="718"/>
      <c r="G15" s="657"/>
      <c r="H15" s="658"/>
      <c r="I15" s="229"/>
      <c r="J15" s="659"/>
      <c r="K15" s="660"/>
      <c r="L15" s="658"/>
      <c r="M15" s="659"/>
      <c r="N15" s="660"/>
      <c r="O15" s="722"/>
      <c r="P15" s="722"/>
      <c r="Q15" s="656"/>
      <c r="R15" s="35" t="str">
        <f t="shared" si="4"/>
        <v>★</v>
      </c>
      <c r="S15" s="35" t="s">
        <v>693</v>
      </c>
      <c r="T15" s="35" t="str">
        <f t="shared" si="5"/>
        <v>★非表示</v>
      </c>
      <c r="U15" s="35" t="s">
        <v>713</v>
      </c>
      <c r="V15" s="35" t="str">
        <f t="shared" si="6"/>
        <v>★非表示</v>
      </c>
      <c r="W15" s="35" t="s">
        <v>733</v>
      </c>
      <c r="X15" s="35" t="str">
        <f>IF(M15="","制御なし","制御あり")</f>
        <v>制御なし</v>
      </c>
      <c r="Y15" s="651" t="s">
        <v>753</v>
      </c>
      <c r="Z15" s="242">
        <f t="shared" si="8"/>
        <v>0</v>
      </c>
      <c r="AA15" s="651" t="str">
        <f t="shared" si="9"/>
        <v>割合0</v>
      </c>
      <c r="AB15" s="651" t="s">
        <v>773</v>
      </c>
      <c r="AC15" s="242">
        <f t="shared" si="0"/>
        <v>0</v>
      </c>
      <c r="AD15" s="35" t="str">
        <f t="shared" si="10"/>
        <v>割合0</v>
      </c>
      <c r="AE15" s="485" t="str">
        <f t="shared" si="1"/>
        <v/>
      </c>
      <c r="AF15" s="485" t="str">
        <f t="shared" si="2"/>
        <v/>
      </c>
      <c r="AG15" s="485" t="str">
        <f t="shared" si="3"/>
        <v/>
      </c>
    </row>
    <row r="16" spans="3:50" ht="21.95" customHeight="1">
      <c r="C16" s="723">
        <v>4</v>
      </c>
      <c r="D16" s="723"/>
      <c r="E16" s="717"/>
      <c r="F16" s="718"/>
      <c r="G16" s="657"/>
      <c r="H16" s="658"/>
      <c r="I16" s="229"/>
      <c r="J16" s="659"/>
      <c r="K16" s="660"/>
      <c r="L16" s="658"/>
      <c r="M16" s="659"/>
      <c r="N16" s="660"/>
      <c r="O16" s="722"/>
      <c r="P16" s="722"/>
      <c r="Q16" s="656"/>
      <c r="R16" s="35" t="str">
        <f t="shared" si="4"/>
        <v>★</v>
      </c>
      <c r="S16" s="35" t="s">
        <v>694</v>
      </c>
      <c r="T16" s="35" t="str">
        <f t="shared" si="5"/>
        <v>★非表示</v>
      </c>
      <c r="U16" s="35" t="s">
        <v>714</v>
      </c>
      <c r="V16" s="35" t="str">
        <f t="shared" si="6"/>
        <v>★非表示</v>
      </c>
      <c r="W16" s="35" t="s">
        <v>734</v>
      </c>
      <c r="X16" s="35" t="str">
        <f t="shared" si="7"/>
        <v>制御なし</v>
      </c>
      <c r="Y16" s="651" t="s">
        <v>754</v>
      </c>
      <c r="Z16" s="242">
        <f t="shared" si="8"/>
        <v>0</v>
      </c>
      <c r="AA16" s="651" t="str">
        <f t="shared" si="9"/>
        <v>割合0</v>
      </c>
      <c r="AB16" s="651" t="s">
        <v>774</v>
      </c>
      <c r="AC16" s="242">
        <f t="shared" si="0"/>
        <v>0</v>
      </c>
      <c r="AD16" s="35" t="str">
        <f t="shared" si="10"/>
        <v>割合0</v>
      </c>
      <c r="AE16" s="485" t="str">
        <f t="shared" si="1"/>
        <v/>
      </c>
      <c r="AF16" s="485" t="str">
        <f t="shared" si="2"/>
        <v/>
      </c>
      <c r="AG16" s="485" t="str">
        <f t="shared" si="3"/>
        <v/>
      </c>
    </row>
    <row r="17" spans="3:33" ht="21.95" customHeight="1">
      <c r="C17" s="723">
        <v>5</v>
      </c>
      <c r="D17" s="723"/>
      <c r="E17" s="717"/>
      <c r="F17" s="718"/>
      <c r="G17" s="657"/>
      <c r="H17" s="658"/>
      <c r="I17" s="229"/>
      <c r="J17" s="659"/>
      <c r="K17" s="660"/>
      <c r="L17" s="658"/>
      <c r="M17" s="659"/>
      <c r="N17" s="660"/>
      <c r="O17" s="722"/>
      <c r="P17" s="722"/>
      <c r="Q17" s="656"/>
      <c r="R17" s="35" t="str">
        <f t="shared" si="4"/>
        <v>★</v>
      </c>
      <c r="S17" s="653" t="s">
        <v>695</v>
      </c>
      <c r="T17" s="653" t="str">
        <f t="shared" si="5"/>
        <v>★非表示</v>
      </c>
      <c r="U17" s="653" t="s">
        <v>715</v>
      </c>
      <c r="V17" s="653" t="str">
        <f t="shared" si="6"/>
        <v>★非表示</v>
      </c>
      <c r="W17" s="653" t="s">
        <v>735</v>
      </c>
      <c r="X17" s="653" t="str">
        <f t="shared" si="7"/>
        <v>制御なし</v>
      </c>
      <c r="Y17" s="654" t="s">
        <v>755</v>
      </c>
      <c r="Z17" s="655">
        <f t="shared" si="8"/>
        <v>0</v>
      </c>
      <c r="AA17" s="654" t="str">
        <f t="shared" si="9"/>
        <v>割合0</v>
      </c>
      <c r="AB17" s="654" t="s">
        <v>775</v>
      </c>
      <c r="AC17" s="655">
        <f t="shared" si="0"/>
        <v>0</v>
      </c>
      <c r="AD17" s="653" t="str">
        <f t="shared" si="10"/>
        <v>割合0</v>
      </c>
      <c r="AE17" s="485" t="str">
        <f t="shared" si="1"/>
        <v/>
      </c>
      <c r="AF17" s="485" t="str">
        <f t="shared" si="2"/>
        <v/>
      </c>
      <c r="AG17" s="485" t="str">
        <f t="shared" si="3"/>
        <v/>
      </c>
    </row>
    <row r="18" spans="3:33" ht="21.95" customHeight="1">
      <c r="C18" s="723">
        <v>6</v>
      </c>
      <c r="D18" s="723"/>
      <c r="E18" s="717"/>
      <c r="F18" s="718"/>
      <c r="G18" s="657"/>
      <c r="H18" s="658"/>
      <c r="I18" s="229"/>
      <c r="J18" s="659"/>
      <c r="K18" s="660"/>
      <c r="L18" s="658"/>
      <c r="M18" s="659"/>
      <c r="N18" s="660"/>
      <c r="O18" s="722"/>
      <c r="P18" s="722"/>
      <c r="Q18" s="656"/>
      <c r="R18" s="35" t="str">
        <f t="shared" si="4"/>
        <v>★</v>
      </c>
      <c r="S18" s="653" t="s">
        <v>696</v>
      </c>
      <c r="T18" s="653" t="str">
        <f t="shared" si="5"/>
        <v>★非表示</v>
      </c>
      <c r="U18" s="653" t="s">
        <v>716</v>
      </c>
      <c r="V18" s="653" t="str">
        <f t="shared" si="6"/>
        <v>★非表示</v>
      </c>
      <c r="W18" s="653" t="s">
        <v>736</v>
      </c>
      <c r="X18" s="653" t="str">
        <f t="shared" si="7"/>
        <v>制御なし</v>
      </c>
      <c r="Y18" s="654" t="s">
        <v>756</v>
      </c>
      <c r="Z18" s="655">
        <f t="shared" si="8"/>
        <v>0</v>
      </c>
      <c r="AA18" s="654" t="str">
        <f t="shared" si="9"/>
        <v>割合0</v>
      </c>
      <c r="AB18" s="654" t="s">
        <v>776</v>
      </c>
      <c r="AC18" s="655">
        <f t="shared" si="0"/>
        <v>0</v>
      </c>
      <c r="AD18" s="653" t="str">
        <f t="shared" si="10"/>
        <v>割合0</v>
      </c>
      <c r="AE18" s="485" t="str">
        <f t="shared" si="1"/>
        <v/>
      </c>
      <c r="AF18" s="485" t="str">
        <f t="shared" si="2"/>
        <v/>
      </c>
      <c r="AG18" s="485" t="str">
        <f t="shared" si="3"/>
        <v/>
      </c>
    </row>
    <row r="19" spans="3:33" ht="21.95" customHeight="1">
      <c r="C19" s="723">
        <v>7</v>
      </c>
      <c r="D19" s="723"/>
      <c r="E19" s="717"/>
      <c r="F19" s="718"/>
      <c r="G19" s="657"/>
      <c r="H19" s="658"/>
      <c r="I19" s="229"/>
      <c r="J19" s="659"/>
      <c r="K19" s="660"/>
      <c r="L19" s="658"/>
      <c r="M19" s="659"/>
      <c r="N19" s="660"/>
      <c r="O19" s="722"/>
      <c r="P19" s="722"/>
      <c r="Q19" s="656"/>
      <c r="R19" s="35" t="str">
        <f t="shared" si="4"/>
        <v>★</v>
      </c>
      <c r="S19" s="653" t="s">
        <v>697</v>
      </c>
      <c r="T19" s="653" t="str">
        <f t="shared" si="5"/>
        <v>★非表示</v>
      </c>
      <c r="U19" s="653" t="s">
        <v>717</v>
      </c>
      <c r="V19" s="653" t="str">
        <f t="shared" si="6"/>
        <v>★非表示</v>
      </c>
      <c r="W19" s="653" t="s">
        <v>737</v>
      </c>
      <c r="X19" s="653" t="str">
        <f t="shared" si="7"/>
        <v>制御なし</v>
      </c>
      <c r="Y19" s="654" t="s">
        <v>757</v>
      </c>
      <c r="Z19" s="655">
        <f t="shared" si="8"/>
        <v>0</v>
      </c>
      <c r="AA19" s="654" t="str">
        <f t="shared" si="9"/>
        <v>割合0</v>
      </c>
      <c r="AB19" s="654" t="s">
        <v>777</v>
      </c>
      <c r="AC19" s="655">
        <f t="shared" si="0"/>
        <v>0</v>
      </c>
      <c r="AD19" s="653" t="str">
        <f t="shared" si="10"/>
        <v>割合0</v>
      </c>
      <c r="AE19" s="485" t="str">
        <f t="shared" si="1"/>
        <v/>
      </c>
      <c r="AF19" s="485" t="str">
        <f t="shared" si="2"/>
        <v/>
      </c>
      <c r="AG19" s="485" t="str">
        <f t="shared" si="3"/>
        <v/>
      </c>
    </row>
    <row r="20" spans="3:33" ht="21.95" customHeight="1">
      <c r="C20" s="723">
        <v>8</v>
      </c>
      <c r="D20" s="723"/>
      <c r="E20" s="717"/>
      <c r="F20" s="718"/>
      <c r="G20" s="657"/>
      <c r="H20" s="658"/>
      <c r="I20" s="229"/>
      <c r="J20" s="659"/>
      <c r="K20" s="660"/>
      <c r="L20" s="658"/>
      <c r="M20" s="659"/>
      <c r="N20" s="660"/>
      <c r="O20" s="722"/>
      <c r="P20" s="722"/>
      <c r="Q20" s="656"/>
      <c r="R20" s="35" t="str">
        <f t="shared" si="4"/>
        <v>★</v>
      </c>
      <c r="S20" s="653" t="s">
        <v>698</v>
      </c>
      <c r="T20" s="653" t="str">
        <f t="shared" si="5"/>
        <v>★非表示</v>
      </c>
      <c r="U20" s="653" t="s">
        <v>718</v>
      </c>
      <c r="V20" s="653" t="str">
        <f t="shared" si="6"/>
        <v>★非表示</v>
      </c>
      <c r="W20" s="653" t="s">
        <v>738</v>
      </c>
      <c r="X20" s="653" t="str">
        <f t="shared" si="7"/>
        <v>制御なし</v>
      </c>
      <c r="Y20" s="654" t="s">
        <v>758</v>
      </c>
      <c r="Z20" s="655">
        <f t="shared" si="8"/>
        <v>0</v>
      </c>
      <c r="AA20" s="654" t="str">
        <f t="shared" si="9"/>
        <v>割合0</v>
      </c>
      <c r="AB20" s="654" t="s">
        <v>778</v>
      </c>
      <c r="AC20" s="655">
        <f t="shared" si="0"/>
        <v>0</v>
      </c>
      <c r="AD20" s="653" t="str">
        <f t="shared" si="10"/>
        <v>割合0</v>
      </c>
      <c r="AE20" s="485" t="str">
        <f t="shared" si="1"/>
        <v/>
      </c>
      <c r="AF20" s="485" t="str">
        <f t="shared" si="2"/>
        <v/>
      </c>
      <c r="AG20" s="485" t="str">
        <f t="shared" si="3"/>
        <v/>
      </c>
    </row>
    <row r="21" spans="3:33" ht="21.95" customHeight="1">
      <c r="C21" s="723">
        <v>9</v>
      </c>
      <c r="D21" s="723"/>
      <c r="E21" s="717"/>
      <c r="F21" s="718"/>
      <c r="G21" s="657"/>
      <c r="H21" s="658"/>
      <c r="I21" s="229"/>
      <c r="J21" s="659"/>
      <c r="K21" s="660"/>
      <c r="L21" s="658"/>
      <c r="M21" s="659"/>
      <c r="N21" s="660"/>
      <c r="O21" s="722"/>
      <c r="P21" s="722"/>
      <c r="Q21" s="656"/>
      <c r="R21" s="35" t="str">
        <f t="shared" si="4"/>
        <v>★</v>
      </c>
      <c r="S21" s="653" t="s">
        <v>699</v>
      </c>
      <c r="T21" s="653" t="str">
        <f t="shared" si="5"/>
        <v>★非表示</v>
      </c>
      <c r="U21" s="653" t="s">
        <v>719</v>
      </c>
      <c r="V21" s="653" t="str">
        <f t="shared" si="6"/>
        <v>★非表示</v>
      </c>
      <c r="W21" s="653" t="s">
        <v>739</v>
      </c>
      <c r="X21" s="653" t="str">
        <f t="shared" si="7"/>
        <v>制御なし</v>
      </c>
      <c r="Y21" s="654" t="s">
        <v>759</v>
      </c>
      <c r="Z21" s="655">
        <f t="shared" si="8"/>
        <v>0</v>
      </c>
      <c r="AA21" s="654" t="str">
        <f t="shared" si="9"/>
        <v>割合0</v>
      </c>
      <c r="AB21" s="654" t="s">
        <v>779</v>
      </c>
      <c r="AC21" s="655">
        <f t="shared" si="0"/>
        <v>0</v>
      </c>
      <c r="AD21" s="653" t="str">
        <f t="shared" si="10"/>
        <v>割合0</v>
      </c>
      <c r="AE21" s="485" t="str">
        <f t="shared" si="1"/>
        <v/>
      </c>
      <c r="AF21" s="485" t="str">
        <f t="shared" si="2"/>
        <v/>
      </c>
      <c r="AG21" s="485" t="str">
        <f t="shared" si="3"/>
        <v/>
      </c>
    </row>
    <row r="22" spans="3:33" ht="21.95" customHeight="1">
      <c r="C22" s="723">
        <v>10</v>
      </c>
      <c r="D22" s="723"/>
      <c r="E22" s="717"/>
      <c r="F22" s="718"/>
      <c r="G22" s="657"/>
      <c r="H22" s="658"/>
      <c r="I22" s="229"/>
      <c r="J22" s="659"/>
      <c r="K22" s="660"/>
      <c r="L22" s="658"/>
      <c r="M22" s="659"/>
      <c r="N22" s="660"/>
      <c r="O22" s="722"/>
      <c r="P22" s="722"/>
      <c r="Q22" s="656"/>
      <c r="R22" s="35" t="str">
        <f t="shared" si="4"/>
        <v>★</v>
      </c>
      <c r="S22" s="653" t="s">
        <v>700</v>
      </c>
      <c r="T22" s="653" t="str">
        <f t="shared" si="5"/>
        <v>★非表示</v>
      </c>
      <c r="U22" s="653" t="s">
        <v>720</v>
      </c>
      <c r="V22" s="653" t="str">
        <f t="shared" si="6"/>
        <v>★非表示</v>
      </c>
      <c r="W22" s="653" t="s">
        <v>740</v>
      </c>
      <c r="X22" s="653" t="str">
        <f t="shared" si="7"/>
        <v>制御なし</v>
      </c>
      <c r="Y22" s="654" t="s">
        <v>760</v>
      </c>
      <c r="Z22" s="655">
        <f t="shared" si="8"/>
        <v>0</v>
      </c>
      <c r="AA22" s="654" t="str">
        <f t="shared" si="9"/>
        <v>割合0</v>
      </c>
      <c r="AB22" s="654" t="s">
        <v>780</v>
      </c>
      <c r="AC22" s="655">
        <f t="shared" si="0"/>
        <v>0</v>
      </c>
      <c r="AD22" s="653" t="str">
        <f t="shared" si="10"/>
        <v>割合0</v>
      </c>
      <c r="AE22" s="485" t="str">
        <f t="shared" si="1"/>
        <v/>
      </c>
      <c r="AF22" s="485" t="str">
        <f t="shared" si="2"/>
        <v/>
      </c>
      <c r="AG22" s="485" t="str">
        <f t="shared" si="3"/>
        <v/>
      </c>
    </row>
    <row r="23" spans="3:33" ht="21.95" customHeight="1">
      <c r="C23" s="723">
        <v>11</v>
      </c>
      <c r="D23" s="723"/>
      <c r="E23" s="717"/>
      <c r="F23" s="718"/>
      <c r="G23" s="657"/>
      <c r="H23" s="658"/>
      <c r="I23" s="229"/>
      <c r="J23" s="659"/>
      <c r="K23" s="660"/>
      <c r="L23" s="658"/>
      <c r="M23" s="659"/>
      <c r="N23" s="660"/>
      <c r="O23" s="722"/>
      <c r="P23" s="722"/>
      <c r="Q23" s="656"/>
      <c r="R23" s="35" t="str">
        <f t="shared" si="4"/>
        <v>★</v>
      </c>
      <c r="S23" s="653" t="s">
        <v>701</v>
      </c>
      <c r="T23" s="653" t="str">
        <f t="shared" si="5"/>
        <v>★非表示</v>
      </c>
      <c r="U23" s="653" t="s">
        <v>721</v>
      </c>
      <c r="V23" s="653" t="str">
        <f t="shared" si="6"/>
        <v>★非表示</v>
      </c>
      <c r="W23" s="653" t="s">
        <v>741</v>
      </c>
      <c r="X23" s="653" t="str">
        <f t="shared" si="7"/>
        <v>制御なし</v>
      </c>
      <c r="Y23" s="654" t="s">
        <v>761</v>
      </c>
      <c r="Z23" s="655">
        <f t="shared" si="8"/>
        <v>0</v>
      </c>
      <c r="AA23" s="654" t="str">
        <f t="shared" si="9"/>
        <v>割合0</v>
      </c>
      <c r="AB23" s="654" t="s">
        <v>781</v>
      </c>
      <c r="AC23" s="655">
        <f t="shared" si="0"/>
        <v>0</v>
      </c>
      <c r="AD23" s="653" t="str">
        <f t="shared" si="10"/>
        <v>割合0</v>
      </c>
      <c r="AE23" s="485" t="str">
        <f t="shared" si="1"/>
        <v/>
      </c>
      <c r="AF23" s="485" t="str">
        <f t="shared" si="2"/>
        <v/>
      </c>
      <c r="AG23" s="485" t="str">
        <f t="shared" si="3"/>
        <v/>
      </c>
    </row>
    <row r="24" spans="3:33" ht="21.95" customHeight="1">
      <c r="C24" s="723">
        <v>12</v>
      </c>
      <c r="D24" s="723"/>
      <c r="E24" s="717"/>
      <c r="F24" s="718"/>
      <c r="G24" s="657"/>
      <c r="H24" s="658"/>
      <c r="I24" s="229"/>
      <c r="J24" s="659"/>
      <c r="K24" s="660"/>
      <c r="L24" s="658"/>
      <c r="M24" s="659"/>
      <c r="N24" s="660"/>
      <c r="O24" s="722"/>
      <c r="P24" s="722"/>
      <c r="Q24" s="656"/>
      <c r="R24" s="35" t="str">
        <f t="shared" si="4"/>
        <v>★</v>
      </c>
      <c r="S24" s="653" t="s">
        <v>702</v>
      </c>
      <c r="T24" s="653" t="str">
        <f t="shared" si="5"/>
        <v>★非表示</v>
      </c>
      <c r="U24" s="653" t="s">
        <v>722</v>
      </c>
      <c r="V24" s="653" t="str">
        <f t="shared" si="6"/>
        <v>★非表示</v>
      </c>
      <c r="W24" s="653" t="s">
        <v>742</v>
      </c>
      <c r="X24" s="653" t="str">
        <f t="shared" si="7"/>
        <v>制御なし</v>
      </c>
      <c r="Y24" s="654" t="s">
        <v>762</v>
      </c>
      <c r="Z24" s="655">
        <f t="shared" si="8"/>
        <v>0</v>
      </c>
      <c r="AA24" s="654" t="str">
        <f t="shared" si="9"/>
        <v>割合0</v>
      </c>
      <c r="AB24" s="654" t="s">
        <v>782</v>
      </c>
      <c r="AC24" s="655">
        <f t="shared" si="0"/>
        <v>0</v>
      </c>
      <c r="AD24" s="653" t="str">
        <f t="shared" si="10"/>
        <v>割合0</v>
      </c>
      <c r="AE24" s="485" t="str">
        <f t="shared" si="1"/>
        <v/>
      </c>
      <c r="AF24" s="485" t="str">
        <f t="shared" si="2"/>
        <v/>
      </c>
      <c r="AG24" s="485" t="str">
        <f t="shared" si="3"/>
        <v/>
      </c>
    </row>
    <row r="25" spans="3:33" ht="21.95" customHeight="1">
      <c r="C25" s="723">
        <v>13</v>
      </c>
      <c r="D25" s="723"/>
      <c r="E25" s="717"/>
      <c r="F25" s="718"/>
      <c r="G25" s="657"/>
      <c r="H25" s="658"/>
      <c r="I25" s="229"/>
      <c r="J25" s="659"/>
      <c r="K25" s="660"/>
      <c r="L25" s="658"/>
      <c r="M25" s="659"/>
      <c r="N25" s="660"/>
      <c r="O25" s="722"/>
      <c r="P25" s="722"/>
      <c r="Q25" s="656"/>
      <c r="R25" s="35" t="str">
        <f t="shared" si="4"/>
        <v>★</v>
      </c>
      <c r="S25" s="653" t="s">
        <v>703</v>
      </c>
      <c r="T25" s="653" t="str">
        <f t="shared" si="5"/>
        <v>★非表示</v>
      </c>
      <c r="U25" s="653" t="s">
        <v>723</v>
      </c>
      <c r="V25" s="653" t="str">
        <f t="shared" si="6"/>
        <v>★非表示</v>
      </c>
      <c r="W25" s="653" t="s">
        <v>743</v>
      </c>
      <c r="X25" s="653" t="str">
        <f t="shared" si="7"/>
        <v>制御なし</v>
      </c>
      <c r="Y25" s="654" t="s">
        <v>763</v>
      </c>
      <c r="Z25" s="655">
        <f t="shared" si="8"/>
        <v>0</v>
      </c>
      <c r="AA25" s="654" t="str">
        <f t="shared" si="9"/>
        <v>割合0</v>
      </c>
      <c r="AB25" s="654" t="s">
        <v>783</v>
      </c>
      <c r="AC25" s="655">
        <f t="shared" si="0"/>
        <v>0</v>
      </c>
      <c r="AD25" s="653" t="str">
        <f t="shared" si="10"/>
        <v>割合0</v>
      </c>
      <c r="AE25" s="485" t="str">
        <f t="shared" si="1"/>
        <v/>
      </c>
      <c r="AF25" s="485" t="str">
        <f t="shared" si="2"/>
        <v/>
      </c>
      <c r="AG25" s="485" t="str">
        <f t="shared" si="3"/>
        <v/>
      </c>
    </row>
    <row r="26" spans="3:33" ht="21.95" customHeight="1">
      <c r="C26" s="723">
        <v>14</v>
      </c>
      <c r="D26" s="723"/>
      <c r="E26" s="717"/>
      <c r="F26" s="718"/>
      <c r="G26" s="657"/>
      <c r="H26" s="658"/>
      <c r="I26" s="229"/>
      <c r="J26" s="659"/>
      <c r="K26" s="660"/>
      <c r="L26" s="658"/>
      <c r="M26" s="659"/>
      <c r="N26" s="660"/>
      <c r="O26" s="722"/>
      <c r="P26" s="722"/>
      <c r="Q26" s="656"/>
      <c r="R26" s="35" t="str">
        <f t="shared" si="4"/>
        <v>★</v>
      </c>
      <c r="S26" s="653" t="s">
        <v>704</v>
      </c>
      <c r="T26" s="653" t="str">
        <f t="shared" si="5"/>
        <v>★非表示</v>
      </c>
      <c r="U26" s="653" t="s">
        <v>724</v>
      </c>
      <c r="V26" s="653" t="str">
        <f t="shared" si="6"/>
        <v>★非表示</v>
      </c>
      <c r="W26" s="653" t="s">
        <v>744</v>
      </c>
      <c r="X26" s="653" t="str">
        <f t="shared" si="7"/>
        <v>制御なし</v>
      </c>
      <c r="Y26" s="654" t="s">
        <v>764</v>
      </c>
      <c r="Z26" s="655">
        <f t="shared" si="8"/>
        <v>0</v>
      </c>
      <c r="AA26" s="654" t="str">
        <f t="shared" si="9"/>
        <v>割合0</v>
      </c>
      <c r="AB26" s="654" t="s">
        <v>784</v>
      </c>
      <c r="AC26" s="655">
        <f t="shared" si="0"/>
        <v>0</v>
      </c>
      <c r="AD26" s="653" t="str">
        <f t="shared" si="10"/>
        <v>割合0</v>
      </c>
      <c r="AE26" s="485" t="str">
        <f t="shared" si="1"/>
        <v/>
      </c>
      <c r="AF26" s="485" t="str">
        <f t="shared" si="2"/>
        <v/>
      </c>
      <c r="AG26" s="485" t="str">
        <f t="shared" si="3"/>
        <v/>
      </c>
    </row>
    <row r="27" spans="3:33" ht="21.95" customHeight="1">
      <c r="C27" s="723">
        <v>15</v>
      </c>
      <c r="D27" s="723"/>
      <c r="E27" s="717"/>
      <c r="F27" s="718"/>
      <c r="G27" s="657"/>
      <c r="H27" s="658"/>
      <c r="I27" s="229"/>
      <c r="J27" s="659"/>
      <c r="K27" s="660"/>
      <c r="L27" s="658"/>
      <c r="M27" s="659"/>
      <c r="N27" s="660"/>
      <c r="O27" s="722"/>
      <c r="P27" s="722"/>
      <c r="Q27" s="656"/>
      <c r="R27" s="35" t="str">
        <f t="shared" si="4"/>
        <v>★</v>
      </c>
      <c r="S27" s="653" t="s">
        <v>705</v>
      </c>
      <c r="T27" s="653" t="str">
        <f t="shared" si="5"/>
        <v>★非表示</v>
      </c>
      <c r="U27" s="653" t="s">
        <v>725</v>
      </c>
      <c r="V27" s="653" t="str">
        <f t="shared" si="6"/>
        <v>★非表示</v>
      </c>
      <c r="W27" s="653" t="s">
        <v>745</v>
      </c>
      <c r="X27" s="653" t="str">
        <f t="shared" si="7"/>
        <v>制御なし</v>
      </c>
      <c r="Y27" s="654" t="s">
        <v>765</v>
      </c>
      <c r="Z27" s="655">
        <f t="shared" si="8"/>
        <v>0</v>
      </c>
      <c r="AA27" s="654" t="str">
        <f t="shared" si="9"/>
        <v>割合0</v>
      </c>
      <c r="AB27" s="654" t="s">
        <v>785</v>
      </c>
      <c r="AC27" s="655">
        <f t="shared" si="0"/>
        <v>0</v>
      </c>
      <c r="AD27" s="653" t="str">
        <f t="shared" si="10"/>
        <v>割合0</v>
      </c>
      <c r="AE27" s="485" t="str">
        <f t="shared" si="1"/>
        <v/>
      </c>
      <c r="AF27" s="485" t="str">
        <f t="shared" si="2"/>
        <v/>
      </c>
      <c r="AG27" s="485" t="str">
        <f t="shared" si="3"/>
        <v/>
      </c>
    </row>
    <row r="28" spans="3:33" ht="21.95" customHeight="1">
      <c r="C28" s="723">
        <v>16</v>
      </c>
      <c r="D28" s="723"/>
      <c r="E28" s="717"/>
      <c r="F28" s="718"/>
      <c r="G28" s="657"/>
      <c r="H28" s="658"/>
      <c r="I28" s="229"/>
      <c r="J28" s="659"/>
      <c r="K28" s="660"/>
      <c r="L28" s="658"/>
      <c r="M28" s="659"/>
      <c r="N28" s="660"/>
      <c r="O28" s="722"/>
      <c r="P28" s="722"/>
      <c r="Q28" s="656"/>
      <c r="R28" s="35" t="str">
        <f t="shared" si="4"/>
        <v>★</v>
      </c>
      <c r="S28" s="653" t="s">
        <v>706</v>
      </c>
      <c r="T28" s="653" t="str">
        <f t="shared" si="5"/>
        <v>★非表示</v>
      </c>
      <c r="U28" s="653" t="s">
        <v>726</v>
      </c>
      <c r="V28" s="653" t="str">
        <f t="shared" si="6"/>
        <v>★非表示</v>
      </c>
      <c r="W28" s="653" t="s">
        <v>746</v>
      </c>
      <c r="X28" s="653" t="str">
        <f t="shared" si="7"/>
        <v>制御なし</v>
      </c>
      <c r="Y28" s="654" t="s">
        <v>766</v>
      </c>
      <c r="Z28" s="655">
        <f t="shared" si="8"/>
        <v>0</v>
      </c>
      <c r="AA28" s="654" t="str">
        <f t="shared" si="9"/>
        <v>割合0</v>
      </c>
      <c r="AB28" s="654" t="s">
        <v>786</v>
      </c>
      <c r="AC28" s="655">
        <f t="shared" si="0"/>
        <v>0</v>
      </c>
      <c r="AD28" s="653" t="str">
        <f t="shared" si="10"/>
        <v>割合0</v>
      </c>
      <c r="AE28" s="485" t="str">
        <f t="shared" si="1"/>
        <v/>
      </c>
      <c r="AF28" s="485" t="str">
        <f t="shared" si="2"/>
        <v/>
      </c>
      <c r="AG28" s="485" t="str">
        <f t="shared" si="3"/>
        <v/>
      </c>
    </row>
    <row r="29" spans="3:33" ht="21.95" customHeight="1">
      <c r="C29" s="723">
        <v>17</v>
      </c>
      <c r="D29" s="723"/>
      <c r="E29" s="717"/>
      <c r="F29" s="718"/>
      <c r="G29" s="657"/>
      <c r="H29" s="658"/>
      <c r="I29" s="229"/>
      <c r="J29" s="659"/>
      <c r="K29" s="660"/>
      <c r="L29" s="658"/>
      <c r="M29" s="659"/>
      <c r="N29" s="660"/>
      <c r="O29" s="722"/>
      <c r="P29" s="722"/>
      <c r="Q29" s="656"/>
      <c r="R29" s="35" t="str">
        <f t="shared" si="4"/>
        <v>★</v>
      </c>
      <c r="S29" s="653" t="s">
        <v>707</v>
      </c>
      <c r="T29" s="653" t="str">
        <f t="shared" si="5"/>
        <v>★非表示</v>
      </c>
      <c r="U29" s="653" t="s">
        <v>727</v>
      </c>
      <c r="V29" s="653" t="str">
        <f t="shared" si="6"/>
        <v>★非表示</v>
      </c>
      <c r="W29" s="653" t="s">
        <v>747</v>
      </c>
      <c r="X29" s="653" t="str">
        <f t="shared" si="7"/>
        <v>制御なし</v>
      </c>
      <c r="Y29" s="654" t="s">
        <v>767</v>
      </c>
      <c r="Z29" s="655">
        <f t="shared" si="8"/>
        <v>0</v>
      </c>
      <c r="AA29" s="654" t="str">
        <f t="shared" si="9"/>
        <v>割合0</v>
      </c>
      <c r="AB29" s="654" t="s">
        <v>787</v>
      </c>
      <c r="AC29" s="655">
        <f t="shared" si="0"/>
        <v>0</v>
      </c>
      <c r="AD29" s="653" t="str">
        <f t="shared" si="10"/>
        <v>割合0</v>
      </c>
      <c r="AE29" s="485" t="str">
        <f t="shared" si="1"/>
        <v/>
      </c>
      <c r="AF29" s="485" t="str">
        <f t="shared" si="2"/>
        <v/>
      </c>
      <c r="AG29" s="485" t="str">
        <f t="shared" si="3"/>
        <v/>
      </c>
    </row>
    <row r="30" spans="3:33" ht="21.95" customHeight="1">
      <c r="C30" s="723">
        <v>18</v>
      </c>
      <c r="D30" s="723"/>
      <c r="E30" s="717"/>
      <c r="F30" s="718"/>
      <c r="G30" s="657"/>
      <c r="H30" s="658"/>
      <c r="I30" s="229"/>
      <c r="J30" s="659"/>
      <c r="K30" s="660"/>
      <c r="L30" s="658"/>
      <c r="M30" s="659"/>
      <c r="N30" s="660"/>
      <c r="O30" s="722"/>
      <c r="P30" s="722"/>
      <c r="Q30" s="656"/>
      <c r="R30" s="35" t="str">
        <f t="shared" si="4"/>
        <v>★</v>
      </c>
      <c r="S30" s="653" t="s">
        <v>708</v>
      </c>
      <c r="T30" s="653" t="str">
        <f t="shared" si="5"/>
        <v>★非表示</v>
      </c>
      <c r="U30" s="653" t="s">
        <v>728</v>
      </c>
      <c r="V30" s="653" t="str">
        <f t="shared" si="6"/>
        <v>★非表示</v>
      </c>
      <c r="W30" s="653" t="s">
        <v>748</v>
      </c>
      <c r="X30" s="653" t="str">
        <f t="shared" si="7"/>
        <v>制御なし</v>
      </c>
      <c r="Y30" s="654" t="s">
        <v>768</v>
      </c>
      <c r="Z30" s="655">
        <f t="shared" si="8"/>
        <v>0</v>
      </c>
      <c r="AA30" s="654" t="str">
        <f t="shared" si="9"/>
        <v>割合0</v>
      </c>
      <c r="AB30" s="654" t="s">
        <v>788</v>
      </c>
      <c r="AC30" s="655">
        <f t="shared" si="0"/>
        <v>0</v>
      </c>
      <c r="AD30" s="653" t="str">
        <f t="shared" si="10"/>
        <v>割合0</v>
      </c>
      <c r="AE30" s="485" t="str">
        <f t="shared" si="1"/>
        <v/>
      </c>
      <c r="AF30" s="485" t="str">
        <f t="shared" si="2"/>
        <v/>
      </c>
      <c r="AG30" s="485" t="str">
        <f t="shared" si="3"/>
        <v/>
      </c>
    </row>
    <row r="31" spans="3:33" ht="21.95" customHeight="1">
      <c r="C31" s="723">
        <v>19</v>
      </c>
      <c r="D31" s="723"/>
      <c r="E31" s="717"/>
      <c r="F31" s="718"/>
      <c r="G31" s="657"/>
      <c r="H31" s="658"/>
      <c r="I31" s="229"/>
      <c r="J31" s="659"/>
      <c r="K31" s="660"/>
      <c r="L31" s="658"/>
      <c r="M31" s="659"/>
      <c r="N31" s="660"/>
      <c r="O31" s="722"/>
      <c r="P31" s="722"/>
      <c r="Q31" s="656"/>
      <c r="R31" s="35" t="str">
        <f t="shared" si="4"/>
        <v>★</v>
      </c>
      <c r="S31" s="653" t="s">
        <v>709</v>
      </c>
      <c r="T31" s="653" t="str">
        <f t="shared" si="5"/>
        <v>★非表示</v>
      </c>
      <c r="U31" s="653" t="s">
        <v>729</v>
      </c>
      <c r="V31" s="653" t="str">
        <f t="shared" si="6"/>
        <v>★非表示</v>
      </c>
      <c r="W31" s="653" t="s">
        <v>749</v>
      </c>
      <c r="X31" s="653" t="str">
        <f t="shared" si="7"/>
        <v>制御なし</v>
      </c>
      <c r="Y31" s="654" t="s">
        <v>769</v>
      </c>
      <c r="Z31" s="655">
        <f t="shared" si="8"/>
        <v>0</v>
      </c>
      <c r="AA31" s="654" t="str">
        <f t="shared" si="9"/>
        <v>割合0</v>
      </c>
      <c r="AB31" s="654" t="s">
        <v>789</v>
      </c>
      <c r="AC31" s="655">
        <f t="shared" si="0"/>
        <v>0</v>
      </c>
      <c r="AD31" s="653" t="str">
        <f t="shared" si="10"/>
        <v>割合0</v>
      </c>
      <c r="AE31" s="485" t="str">
        <f t="shared" si="1"/>
        <v/>
      </c>
      <c r="AF31" s="485" t="str">
        <f t="shared" si="2"/>
        <v/>
      </c>
      <c r="AG31" s="485" t="str">
        <f t="shared" si="3"/>
        <v/>
      </c>
    </row>
    <row r="32" spans="3:33" ht="21.95" customHeight="1">
      <c r="C32" s="723">
        <v>20</v>
      </c>
      <c r="D32" s="723"/>
      <c r="E32" s="717"/>
      <c r="F32" s="718"/>
      <c r="G32" s="657"/>
      <c r="H32" s="658"/>
      <c r="I32" s="229"/>
      <c r="J32" s="659"/>
      <c r="K32" s="660"/>
      <c r="L32" s="658"/>
      <c r="M32" s="659"/>
      <c r="N32" s="660"/>
      <c r="O32" s="722"/>
      <c r="P32" s="722"/>
      <c r="Q32" s="656"/>
      <c r="R32" s="35" t="str">
        <f t="shared" si="4"/>
        <v>★</v>
      </c>
      <c r="S32" s="653" t="s">
        <v>710</v>
      </c>
      <c r="T32" s="653" t="str">
        <f t="shared" si="5"/>
        <v>★非表示</v>
      </c>
      <c r="U32" s="653" t="s">
        <v>730</v>
      </c>
      <c r="V32" s="653" t="str">
        <f t="shared" si="6"/>
        <v>★非表示</v>
      </c>
      <c r="W32" s="653" t="s">
        <v>750</v>
      </c>
      <c r="X32" s="653" t="str">
        <f t="shared" si="7"/>
        <v>制御なし</v>
      </c>
      <c r="Y32" s="654" t="s">
        <v>770</v>
      </c>
      <c r="Z32" s="655">
        <f t="shared" si="8"/>
        <v>0</v>
      </c>
      <c r="AA32" s="654" t="str">
        <f t="shared" si="9"/>
        <v>割合0</v>
      </c>
      <c r="AB32" s="654" t="s">
        <v>790</v>
      </c>
      <c r="AC32" s="655">
        <f t="shared" si="0"/>
        <v>0</v>
      </c>
      <c r="AD32" s="653" t="str">
        <f t="shared" si="10"/>
        <v>割合0</v>
      </c>
      <c r="AE32" s="485" t="str">
        <f t="shared" si="1"/>
        <v/>
      </c>
      <c r="AF32" s="485" t="str">
        <f t="shared" si="2"/>
        <v/>
      </c>
      <c r="AG32" s="485" t="str">
        <f t="shared" si="3"/>
        <v/>
      </c>
    </row>
    <row r="33" spans="3:30" ht="14.25"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pans="3:30" ht="14.25" customHeight="1">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3:30" ht="14.25" customHeight="1">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pans="3:30" ht="14.25" customHeight="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pans="3:30" ht="14.25" customHeight="1">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pans="3:30" ht="14.25" customHeight="1">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pans="3:30" ht="14.25" customHeight="1">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pans="3:30" ht="14.25" customHeight="1">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1" spans="3:30" ht="14.25" customHeight="1">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pans="3:30" ht="14.25" customHeight="1">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row>
    <row r="43" spans="3:30" ht="14.25" customHeight="1">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row>
    <row r="44" spans="3:30" ht="14.25" customHeight="1">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pans="3:30" ht="14.25" customHeight="1">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3:30" ht="14.25" customHeight="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pans="3:30" ht="14.25" customHeight="1">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3:30" ht="14.25" customHeight="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pans="3:30" ht="14.25" customHeight="1">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pans="3:30" ht="14.25" customHeight="1">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3:30" ht="14.25" customHeight="1">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3:30">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3:30">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4" spans="3:30">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row>
    <row r="55" spans="3:30">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row>
    <row r="56" spans="3:30">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row>
    <row r="57" spans="3:30">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pans="3:30">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row>
    <row r="59" spans="3:30">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3:30">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pans="3:30">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2" spans="3:30">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pans="3:30">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row>
    <row r="64" spans="3:30">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row>
    <row r="65" spans="3:30">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pans="3:30">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3:30">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pans="3:30">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pans="3:30">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row>
    <row r="70" spans="3:30">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pans="3:30">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pans="3:30">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row>
    <row r="73" spans="3:30">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row>
  </sheetData>
  <sheetProtection password="8037" sheet="1" objects="1" scenarios="1" selectLockedCells="1"/>
  <mergeCells count="82">
    <mergeCell ref="U12:X12"/>
    <mergeCell ref="W11:X11"/>
    <mergeCell ref="C2:D2"/>
    <mergeCell ref="C3:D3"/>
    <mergeCell ref="C4:D4"/>
    <mergeCell ref="C5:D5"/>
    <mergeCell ref="G11:G12"/>
    <mergeCell ref="H11:I12"/>
    <mergeCell ref="J11:K11"/>
    <mergeCell ref="L11:N11"/>
    <mergeCell ref="C11:D12"/>
    <mergeCell ref="O11:P12"/>
    <mergeCell ref="E11:F12"/>
    <mergeCell ref="C24:D24"/>
    <mergeCell ref="C13:D13"/>
    <mergeCell ref="C14:D14"/>
    <mergeCell ref="C15:D15"/>
    <mergeCell ref="C16:D16"/>
    <mergeCell ref="C17:D17"/>
    <mergeCell ref="C18:D18"/>
    <mergeCell ref="C19:D19"/>
    <mergeCell ref="C20:D20"/>
    <mergeCell ref="C21:D21"/>
    <mergeCell ref="C22:D22"/>
    <mergeCell ref="C23:D23"/>
    <mergeCell ref="C31:D31"/>
    <mergeCell ref="C32:D32"/>
    <mergeCell ref="O13:P13"/>
    <mergeCell ref="O14:P14"/>
    <mergeCell ref="O15:P15"/>
    <mergeCell ref="O16:P16"/>
    <mergeCell ref="O17:P17"/>
    <mergeCell ref="O18:P18"/>
    <mergeCell ref="O19:P19"/>
    <mergeCell ref="O20:P20"/>
    <mergeCell ref="C25:D25"/>
    <mergeCell ref="C26:D26"/>
    <mergeCell ref="C27:D27"/>
    <mergeCell ref="C28:D28"/>
    <mergeCell ref="C29:D29"/>
    <mergeCell ref="C30:D30"/>
    <mergeCell ref="O32:P32"/>
    <mergeCell ref="O21:P21"/>
    <mergeCell ref="O22:P22"/>
    <mergeCell ref="O23:P23"/>
    <mergeCell ref="O24:P24"/>
    <mergeCell ref="O25:P25"/>
    <mergeCell ref="O26:P26"/>
    <mergeCell ref="O27:P27"/>
    <mergeCell ref="O28:P28"/>
    <mergeCell ref="O29:P29"/>
    <mergeCell ref="O30:P30"/>
    <mergeCell ref="O31:P31"/>
    <mergeCell ref="Y11:AD11"/>
    <mergeCell ref="Y12:AA12"/>
    <mergeCell ref="AB12:AD12"/>
    <mergeCell ref="AF12:AG12"/>
    <mergeCell ref="AE11:AG11"/>
    <mergeCell ref="E23:F23"/>
    <mergeCell ref="E24:F24"/>
    <mergeCell ref="E13:F13"/>
    <mergeCell ref="E14:F14"/>
    <mergeCell ref="E15:F15"/>
    <mergeCell ref="E16:F16"/>
    <mergeCell ref="E17:F17"/>
    <mergeCell ref="E18:F18"/>
    <mergeCell ref="E31:F31"/>
    <mergeCell ref="E32:F32"/>
    <mergeCell ref="F9:G9"/>
    <mergeCell ref="R11:R12"/>
    <mergeCell ref="S11:V11"/>
    <mergeCell ref="S12:T12"/>
    <mergeCell ref="E25:F25"/>
    <mergeCell ref="E26:F26"/>
    <mergeCell ref="E27:F27"/>
    <mergeCell ref="E28:F28"/>
    <mergeCell ref="E29:F29"/>
    <mergeCell ref="E30:F30"/>
    <mergeCell ref="E19:F19"/>
    <mergeCell ref="E20:F20"/>
    <mergeCell ref="E21:F21"/>
    <mergeCell ref="E22:F22"/>
  </mergeCells>
  <phoneticPr fontId="64"/>
  <dataValidations count="2">
    <dataValidation type="list" allowBlank="1" showInputMessage="1" showErrorMessage="1" sqref="L13:L32">
      <formula1>$AB$2:$AI$2</formula1>
    </dataValidation>
    <dataValidation type="list" allowBlank="1" showInputMessage="1" showErrorMessage="1" sqref="I13:I32">
      <formula1>INDIRECT($R13)</formula1>
    </dataValidation>
  </dataValidations>
  <pageMargins left="0.7" right="0.7" top="0.75" bottom="0.75" header="0.3" footer="0.3"/>
  <pageSetup paperSize="9" scale="88"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'2_メイン'!$AH$2:$AQ$2</xm:f>
          </x14:formula1>
          <xm:sqref>K13:K32 N13:N32</xm:sqref>
        </x14:dataValidation>
        <x14:dataValidation type="list" allowBlank="1" showInputMessage="1" showErrorMessage="1">
          <x14:formula1>
            <xm:f>'2_メイン'!$AB$10:$AD$10</xm:f>
          </x14:formula1>
          <xm:sqref>J13:J32</xm:sqref>
        </x14:dataValidation>
        <x14:dataValidation type="list" allowBlank="1" showInputMessage="1" showErrorMessage="1">
          <x14:formula1>
            <xm:f>'2_メイン'!$AS$2:$AT$2</xm:f>
          </x14:formula1>
          <xm:sqref>M13:M32</xm:sqref>
        </x14:dataValidation>
        <x14:dataValidation type="list" allowBlank="1" showInputMessage="1" showErrorMessage="1">
          <x14:formula1>
            <xm:f>'3_床面積'!$T$9:$W$9</xm:f>
          </x14:formula1>
          <xm:sqref>H13:H32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0" tint="-4.9989318521683403E-2"/>
  </sheetPr>
  <dimension ref="A1:BR281"/>
  <sheetViews>
    <sheetView showGridLines="0" topLeftCell="A8" zoomScale="85" zoomScaleNormal="85" zoomScaleSheetLayoutView="115" workbookViewId="0">
      <selection activeCell="T46" sqref="T46"/>
    </sheetView>
  </sheetViews>
  <sheetFormatPr defaultRowHeight="13.5"/>
  <cols>
    <col min="1" max="1" width="1.625" style="266" customWidth="1"/>
    <col min="2" max="3" width="1.625" style="252" customWidth="1"/>
    <col min="4" max="4" width="3.625" style="252" customWidth="1"/>
    <col min="5" max="5" width="6.125" style="252" customWidth="1"/>
    <col min="6" max="6" width="7.75" style="252" customWidth="1"/>
    <col min="7" max="12" width="6.125" style="252" customWidth="1"/>
    <col min="13" max="13" width="0.625" style="252" customWidth="1"/>
    <col min="14" max="16" width="6.125" style="252" customWidth="1"/>
    <col min="17" max="17" width="0.625" style="252" customWidth="1"/>
    <col min="18" max="18" width="3.625" style="252" customWidth="1"/>
    <col min="19" max="19" width="6.125" style="252" customWidth="1"/>
    <col min="20" max="20" width="2.5" style="252" customWidth="1"/>
    <col min="21" max="21" width="1.625" style="252" customWidth="1"/>
    <col min="22" max="22" width="3.625" style="252" customWidth="1"/>
    <col min="23" max="23" width="1.625" style="252" customWidth="1"/>
    <col min="24" max="25" width="9" style="252" customWidth="1"/>
    <col min="26" max="26" width="9.125" style="252" customWidth="1"/>
    <col min="27" max="27" width="10.5" style="252" customWidth="1"/>
    <col min="28" max="28" width="9.25" style="252" customWidth="1"/>
    <col min="29" max="29" width="10.5" style="252" customWidth="1"/>
    <col min="30" max="34" width="9" style="252" customWidth="1"/>
    <col min="35" max="35" width="9.25" style="252" customWidth="1"/>
    <col min="36" max="36" width="9.125" style="252" customWidth="1"/>
    <col min="37" max="37" width="9.875" style="252" customWidth="1"/>
    <col min="38" max="47" width="9" style="252" customWidth="1"/>
    <col min="48" max="48" width="9.125" style="252" customWidth="1"/>
    <col min="49" max="49" width="9.875" style="252" customWidth="1"/>
    <col min="50" max="55" width="9" style="252" customWidth="1"/>
    <col min="56" max="56" width="9.25" style="252" customWidth="1"/>
    <col min="57" max="62" width="9" style="252" customWidth="1"/>
    <col min="63" max="63" width="9.5" style="252" bestFit="1" customWidth="1"/>
    <col min="64" max="195" width="9" style="252"/>
    <col min="196" max="198" width="1.625" style="252" customWidth="1"/>
    <col min="199" max="199" width="5.875" style="252" customWidth="1"/>
    <col min="200" max="200" width="8.625" style="252" customWidth="1"/>
    <col min="201" max="202" width="6.625" style="252" customWidth="1"/>
    <col min="203" max="203" width="7.875" style="252" customWidth="1"/>
    <col min="204" max="204" width="7.5" style="252" customWidth="1"/>
    <col min="205" max="209" width="6.625" style="252" customWidth="1"/>
    <col min="210" max="210" width="3.5" style="252" customWidth="1"/>
    <col min="211" max="214" width="4.625" style="252" customWidth="1"/>
    <col min="215" max="216" width="8.625" style="252" customWidth="1"/>
    <col min="217" max="217" width="1.625" style="252" customWidth="1"/>
    <col min="218" max="220" width="9" style="252" customWidth="1"/>
    <col min="221" max="221" width="14" style="252" customWidth="1"/>
    <col min="222" max="222" width="10.25" style="252" customWidth="1"/>
    <col min="223" max="225" width="11.625" style="252" customWidth="1"/>
    <col min="226" max="226" width="10.5" style="252" customWidth="1"/>
    <col min="227" max="229" width="11.625" style="252" customWidth="1"/>
    <col min="230" max="246" width="9" style="252" customWidth="1"/>
    <col min="247" max="247" width="9.5" style="252" customWidth="1"/>
    <col min="248" max="274" width="9" style="252" customWidth="1"/>
    <col min="275" max="451" width="9" style="252"/>
    <col min="452" max="454" width="1.625" style="252" customWidth="1"/>
    <col min="455" max="455" width="5.875" style="252" customWidth="1"/>
    <col min="456" max="456" width="8.625" style="252" customWidth="1"/>
    <col min="457" max="458" width="6.625" style="252" customWidth="1"/>
    <col min="459" max="459" width="7.875" style="252" customWidth="1"/>
    <col min="460" max="460" width="7.5" style="252" customWidth="1"/>
    <col min="461" max="465" width="6.625" style="252" customWidth="1"/>
    <col min="466" max="466" width="3.5" style="252" customWidth="1"/>
    <col min="467" max="470" width="4.625" style="252" customWidth="1"/>
    <col min="471" max="472" width="8.625" style="252" customWidth="1"/>
    <col min="473" max="473" width="1.625" style="252" customWidth="1"/>
    <col min="474" max="476" width="9" style="252" customWidth="1"/>
    <col min="477" max="477" width="14" style="252" customWidth="1"/>
    <col min="478" max="478" width="10.25" style="252" customWidth="1"/>
    <col min="479" max="481" width="11.625" style="252" customWidth="1"/>
    <col min="482" max="482" width="10.5" style="252" customWidth="1"/>
    <col min="483" max="485" width="11.625" style="252" customWidth="1"/>
    <col min="486" max="502" width="9" style="252" customWidth="1"/>
    <col min="503" max="503" width="9.5" style="252" customWidth="1"/>
    <col min="504" max="530" width="9" style="252" customWidth="1"/>
    <col min="531" max="707" width="9" style="252"/>
    <col min="708" max="710" width="1.625" style="252" customWidth="1"/>
    <col min="711" max="711" width="5.875" style="252" customWidth="1"/>
    <col min="712" max="712" width="8.625" style="252" customWidth="1"/>
    <col min="713" max="714" width="6.625" style="252" customWidth="1"/>
    <col min="715" max="715" width="7.875" style="252" customWidth="1"/>
    <col min="716" max="716" width="7.5" style="252" customWidth="1"/>
    <col min="717" max="721" width="6.625" style="252" customWidth="1"/>
    <col min="722" max="722" width="3.5" style="252" customWidth="1"/>
    <col min="723" max="726" width="4.625" style="252" customWidth="1"/>
    <col min="727" max="728" width="8.625" style="252" customWidth="1"/>
    <col min="729" max="729" width="1.625" style="252" customWidth="1"/>
    <col min="730" max="732" width="9" style="252" customWidth="1"/>
    <col min="733" max="733" width="14" style="252" customWidth="1"/>
    <col min="734" max="734" width="10.25" style="252" customWidth="1"/>
    <col min="735" max="737" width="11.625" style="252" customWidth="1"/>
    <col min="738" max="738" width="10.5" style="252" customWidth="1"/>
    <col min="739" max="741" width="11.625" style="252" customWidth="1"/>
    <col min="742" max="758" width="9" style="252" customWidth="1"/>
    <col min="759" max="759" width="9.5" style="252" customWidth="1"/>
    <col min="760" max="786" width="9" style="252" customWidth="1"/>
    <col min="787" max="963" width="9" style="252"/>
    <col min="964" max="966" width="1.625" style="252" customWidth="1"/>
    <col min="967" max="967" width="5.875" style="252" customWidth="1"/>
    <col min="968" max="968" width="8.625" style="252" customWidth="1"/>
    <col min="969" max="970" width="6.625" style="252" customWidth="1"/>
    <col min="971" max="971" width="7.875" style="252" customWidth="1"/>
    <col min="972" max="972" width="7.5" style="252" customWidth="1"/>
    <col min="973" max="977" width="6.625" style="252" customWidth="1"/>
    <col min="978" max="978" width="3.5" style="252" customWidth="1"/>
    <col min="979" max="982" width="4.625" style="252" customWidth="1"/>
    <col min="983" max="984" width="8.625" style="252" customWidth="1"/>
    <col min="985" max="985" width="1.625" style="252" customWidth="1"/>
    <col min="986" max="988" width="9" style="252" customWidth="1"/>
    <col min="989" max="989" width="14" style="252" customWidth="1"/>
    <col min="990" max="990" width="10.25" style="252" customWidth="1"/>
    <col min="991" max="993" width="11.625" style="252" customWidth="1"/>
    <col min="994" max="994" width="10.5" style="252" customWidth="1"/>
    <col min="995" max="997" width="11.625" style="252" customWidth="1"/>
    <col min="998" max="1014" width="9" style="252" customWidth="1"/>
    <col min="1015" max="1015" width="9.5" style="252" customWidth="1"/>
    <col min="1016" max="1042" width="9" style="252" customWidth="1"/>
    <col min="1043" max="1219" width="9" style="252"/>
    <col min="1220" max="1222" width="1.625" style="252" customWidth="1"/>
    <col min="1223" max="1223" width="5.875" style="252" customWidth="1"/>
    <col min="1224" max="1224" width="8.625" style="252" customWidth="1"/>
    <col min="1225" max="1226" width="6.625" style="252" customWidth="1"/>
    <col min="1227" max="1227" width="7.875" style="252" customWidth="1"/>
    <col min="1228" max="1228" width="7.5" style="252" customWidth="1"/>
    <col min="1229" max="1233" width="6.625" style="252" customWidth="1"/>
    <col min="1234" max="1234" width="3.5" style="252" customWidth="1"/>
    <col min="1235" max="1238" width="4.625" style="252" customWidth="1"/>
    <col min="1239" max="1240" width="8.625" style="252" customWidth="1"/>
    <col min="1241" max="1241" width="1.625" style="252" customWidth="1"/>
    <col min="1242" max="1244" width="9" style="252" customWidth="1"/>
    <col min="1245" max="1245" width="14" style="252" customWidth="1"/>
    <col min="1246" max="1246" width="10.25" style="252" customWidth="1"/>
    <col min="1247" max="1249" width="11.625" style="252" customWidth="1"/>
    <col min="1250" max="1250" width="10.5" style="252" customWidth="1"/>
    <col min="1251" max="1253" width="11.625" style="252" customWidth="1"/>
    <col min="1254" max="1270" width="9" style="252" customWidth="1"/>
    <col min="1271" max="1271" width="9.5" style="252" customWidth="1"/>
    <col min="1272" max="1298" width="9" style="252" customWidth="1"/>
    <col min="1299" max="1475" width="9" style="252"/>
    <col min="1476" max="1478" width="1.625" style="252" customWidth="1"/>
    <col min="1479" max="1479" width="5.875" style="252" customWidth="1"/>
    <col min="1480" max="1480" width="8.625" style="252" customWidth="1"/>
    <col min="1481" max="1482" width="6.625" style="252" customWidth="1"/>
    <col min="1483" max="1483" width="7.875" style="252" customWidth="1"/>
    <col min="1484" max="1484" width="7.5" style="252" customWidth="1"/>
    <col min="1485" max="1489" width="6.625" style="252" customWidth="1"/>
    <col min="1490" max="1490" width="3.5" style="252" customWidth="1"/>
    <col min="1491" max="1494" width="4.625" style="252" customWidth="1"/>
    <col min="1495" max="1496" width="8.625" style="252" customWidth="1"/>
    <col min="1497" max="1497" width="1.625" style="252" customWidth="1"/>
    <col min="1498" max="1500" width="9" style="252" customWidth="1"/>
    <col min="1501" max="1501" width="14" style="252" customWidth="1"/>
    <col min="1502" max="1502" width="10.25" style="252" customWidth="1"/>
    <col min="1503" max="1505" width="11.625" style="252" customWidth="1"/>
    <col min="1506" max="1506" width="10.5" style="252" customWidth="1"/>
    <col min="1507" max="1509" width="11.625" style="252" customWidth="1"/>
    <col min="1510" max="1526" width="9" style="252" customWidth="1"/>
    <col min="1527" max="1527" width="9.5" style="252" customWidth="1"/>
    <col min="1528" max="1554" width="9" style="252" customWidth="1"/>
    <col min="1555" max="1731" width="9" style="252"/>
    <col min="1732" max="1734" width="1.625" style="252" customWidth="1"/>
    <col min="1735" max="1735" width="5.875" style="252" customWidth="1"/>
    <col min="1736" max="1736" width="8.625" style="252" customWidth="1"/>
    <col min="1737" max="1738" width="6.625" style="252" customWidth="1"/>
    <col min="1739" max="1739" width="7.875" style="252" customWidth="1"/>
    <col min="1740" max="1740" width="7.5" style="252" customWidth="1"/>
    <col min="1741" max="1745" width="6.625" style="252" customWidth="1"/>
    <col min="1746" max="1746" width="3.5" style="252" customWidth="1"/>
    <col min="1747" max="1750" width="4.625" style="252" customWidth="1"/>
    <col min="1751" max="1752" width="8.625" style="252" customWidth="1"/>
    <col min="1753" max="1753" width="1.625" style="252" customWidth="1"/>
    <col min="1754" max="1756" width="9" style="252" customWidth="1"/>
    <col min="1757" max="1757" width="14" style="252" customWidth="1"/>
    <col min="1758" max="1758" width="10.25" style="252" customWidth="1"/>
    <col min="1759" max="1761" width="11.625" style="252" customWidth="1"/>
    <col min="1762" max="1762" width="10.5" style="252" customWidth="1"/>
    <col min="1763" max="1765" width="11.625" style="252" customWidth="1"/>
    <col min="1766" max="1782" width="9" style="252" customWidth="1"/>
    <col min="1783" max="1783" width="9.5" style="252" customWidth="1"/>
    <col min="1784" max="1810" width="9" style="252" customWidth="1"/>
    <col min="1811" max="1987" width="9" style="252"/>
    <col min="1988" max="1990" width="1.625" style="252" customWidth="1"/>
    <col min="1991" max="1991" width="5.875" style="252" customWidth="1"/>
    <col min="1992" max="1992" width="8.625" style="252" customWidth="1"/>
    <col min="1993" max="1994" width="6.625" style="252" customWidth="1"/>
    <col min="1995" max="1995" width="7.875" style="252" customWidth="1"/>
    <col min="1996" max="1996" width="7.5" style="252" customWidth="1"/>
    <col min="1997" max="2001" width="6.625" style="252" customWidth="1"/>
    <col min="2002" max="2002" width="3.5" style="252" customWidth="1"/>
    <col min="2003" max="2006" width="4.625" style="252" customWidth="1"/>
    <col min="2007" max="2008" width="8.625" style="252" customWidth="1"/>
    <col min="2009" max="2009" width="1.625" style="252" customWidth="1"/>
    <col min="2010" max="2012" width="9" style="252" customWidth="1"/>
    <col min="2013" max="2013" width="14" style="252" customWidth="1"/>
    <col min="2014" max="2014" width="10.25" style="252" customWidth="1"/>
    <col min="2015" max="2017" width="11.625" style="252" customWidth="1"/>
    <col min="2018" max="2018" width="10.5" style="252" customWidth="1"/>
    <col min="2019" max="2021" width="11.625" style="252" customWidth="1"/>
    <col min="2022" max="2038" width="9" style="252" customWidth="1"/>
    <col min="2039" max="2039" width="9.5" style="252" customWidth="1"/>
    <col min="2040" max="2066" width="9" style="252" customWidth="1"/>
    <col min="2067" max="2243" width="9" style="252"/>
    <col min="2244" max="2246" width="1.625" style="252" customWidth="1"/>
    <col min="2247" max="2247" width="5.875" style="252" customWidth="1"/>
    <col min="2248" max="2248" width="8.625" style="252" customWidth="1"/>
    <col min="2249" max="2250" width="6.625" style="252" customWidth="1"/>
    <col min="2251" max="2251" width="7.875" style="252" customWidth="1"/>
    <col min="2252" max="2252" width="7.5" style="252" customWidth="1"/>
    <col min="2253" max="2257" width="6.625" style="252" customWidth="1"/>
    <col min="2258" max="2258" width="3.5" style="252" customWidth="1"/>
    <col min="2259" max="2262" width="4.625" style="252" customWidth="1"/>
    <col min="2263" max="2264" width="8.625" style="252" customWidth="1"/>
    <col min="2265" max="2265" width="1.625" style="252" customWidth="1"/>
    <col min="2266" max="2268" width="9" style="252" customWidth="1"/>
    <col min="2269" max="2269" width="14" style="252" customWidth="1"/>
    <col min="2270" max="2270" width="10.25" style="252" customWidth="1"/>
    <col min="2271" max="2273" width="11.625" style="252" customWidth="1"/>
    <col min="2274" max="2274" width="10.5" style="252" customWidth="1"/>
    <col min="2275" max="2277" width="11.625" style="252" customWidth="1"/>
    <col min="2278" max="2294" width="9" style="252" customWidth="1"/>
    <col min="2295" max="2295" width="9.5" style="252" customWidth="1"/>
    <col min="2296" max="2322" width="9" style="252" customWidth="1"/>
    <col min="2323" max="2499" width="9" style="252"/>
    <col min="2500" max="2502" width="1.625" style="252" customWidth="1"/>
    <col min="2503" max="2503" width="5.875" style="252" customWidth="1"/>
    <col min="2504" max="2504" width="8.625" style="252" customWidth="1"/>
    <col min="2505" max="2506" width="6.625" style="252" customWidth="1"/>
    <col min="2507" max="2507" width="7.875" style="252" customWidth="1"/>
    <col min="2508" max="2508" width="7.5" style="252" customWidth="1"/>
    <col min="2509" max="2513" width="6.625" style="252" customWidth="1"/>
    <col min="2514" max="2514" width="3.5" style="252" customWidth="1"/>
    <col min="2515" max="2518" width="4.625" style="252" customWidth="1"/>
    <col min="2519" max="2520" width="8.625" style="252" customWidth="1"/>
    <col min="2521" max="2521" width="1.625" style="252" customWidth="1"/>
    <col min="2522" max="2524" width="9" style="252" customWidth="1"/>
    <col min="2525" max="2525" width="14" style="252" customWidth="1"/>
    <col min="2526" max="2526" width="10.25" style="252" customWidth="1"/>
    <col min="2527" max="2529" width="11.625" style="252" customWidth="1"/>
    <col min="2530" max="2530" width="10.5" style="252" customWidth="1"/>
    <col min="2531" max="2533" width="11.625" style="252" customWidth="1"/>
    <col min="2534" max="2550" width="9" style="252" customWidth="1"/>
    <col min="2551" max="2551" width="9.5" style="252" customWidth="1"/>
    <col min="2552" max="2578" width="9" style="252" customWidth="1"/>
    <col min="2579" max="2755" width="9" style="252"/>
    <col min="2756" max="2758" width="1.625" style="252" customWidth="1"/>
    <col min="2759" max="2759" width="5.875" style="252" customWidth="1"/>
    <col min="2760" max="2760" width="8.625" style="252" customWidth="1"/>
    <col min="2761" max="2762" width="6.625" style="252" customWidth="1"/>
    <col min="2763" max="2763" width="7.875" style="252" customWidth="1"/>
    <col min="2764" max="2764" width="7.5" style="252" customWidth="1"/>
    <col min="2765" max="2769" width="6.625" style="252" customWidth="1"/>
    <col min="2770" max="2770" width="3.5" style="252" customWidth="1"/>
    <col min="2771" max="2774" width="4.625" style="252" customWidth="1"/>
    <col min="2775" max="2776" width="8.625" style="252" customWidth="1"/>
    <col min="2777" max="2777" width="1.625" style="252" customWidth="1"/>
    <col min="2778" max="2780" width="9" style="252" customWidth="1"/>
    <col min="2781" max="2781" width="14" style="252" customWidth="1"/>
    <col min="2782" max="2782" width="10.25" style="252" customWidth="1"/>
    <col min="2783" max="2785" width="11.625" style="252" customWidth="1"/>
    <col min="2786" max="2786" width="10.5" style="252" customWidth="1"/>
    <col min="2787" max="2789" width="11.625" style="252" customWidth="1"/>
    <col min="2790" max="2806" width="9" style="252" customWidth="1"/>
    <col min="2807" max="2807" width="9.5" style="252" customWidth="1"/>
    <col min="2808" max="2834" width="9" style="252" customWidth="1"/>
    <col min="2835" max="3011" width="9" style="252"/>
    <col min="3012" max="3014" width="1.625" style="252" customWidth="1"/>
    <col min="3015" max="3015" width="5.875" style="252" customWidth="1"/>
    <col min="3016" max="3016" width="8.625" style="252" customWidth="1"/>
    <col min="3017" max="3018" width="6.625" style="252" customWidth="1"/>
    <col min="3019" max="3019" width="7.875" style="252" customWidth="1"/>
    <col min="3020" max="3020" width="7.5" style="252" customWidth="1"/>
    <col min="3021" max="3025" width="6.625" style="252" customWidth="1"/>
    <col min="3026" max="3026" width="3.5" style="252" customWidth="1"/>
    <col min="3027" max="3030" width="4.625" style="252" customWidth="1"/>
    <col min="3031" max="3032" width="8.625" style="252" customWidth="1"/>
    <col min="3033" max="3033" width="1.625" style="252" customWidth="1"/>
    <col min="3034" max="3036" width="9" style="252" customWidth="1"/>
    <col min="3037" max="3037" width="14" style="252" customWidth="1"/>
    <col min="3038" max="3038" width="10.25" style="252" customWidth="1"/>
    <col min="3039" max="3041" width="11.625" style="252" customWidth="1"/>
    <col min="3042" max="3042" width="10.5" style="252" customWidth="1"/>
    <col min="3043" max="3045" width="11.625" style="252" customWidth="1"/>
    <col min="3046" max="3062" width="9" style="252" customWidth="1"/>
    <col min="3063" max="3063" width="9.5" style="252" customWidth="1"/>
    <col min="3064" max="3090" width="9" style="252" customWidth="1"/>
    <col min="3091" max="3267" width="9" style="252"/>
    <col min="3268" max="3270" width="1.625" style="252" customWidth="1"/>
    <col min="3271" max="3271" width="5.875" style="252" customWidth="1"/>
    <col min="3272" max="3272" width="8.625" style="252" customWidth="1"/>
    <col min="3273" max="3274" width="6.625" style="252" customWidth="1"/>
    <col min="3275" max="3275" width="7.875" style="252" customWidth="1"/>
    <col min="3276" max="3276" width="7.5" style="252" customWidth="1"/>
    <col min="3277" max="3281" width="6.625" style="252" customWidth="1"/>
    <col min="3282" max="3282" width="3.5" style="252" customWidth="1"/>
    <col min="3283" max="3286" width="4.625" style="252" customWidth="1"/>
    <col min="3287" max="3288" width="8.625" style="252" customWidth="1"/>
    <col min="3289" max="3289" width="1.625" style="252" customWidth="1"/>
    <col min="3290" max="3292" width="9" style="252" customWidth="1"/>
    <col min="3293" max="3293" width="14" style="252" customWidth="1"/>
    <col min="3294" max="3294" width="10.25" style="252" customWidth="1"/>
    <col min="3295" max="3297" width="11.625" style="252" customWidth="1"/>
    <col min="3298" max="3298" width="10.5" style="252" customWidth="1"/>
    <col min="3299" max="3301" width="11.625" style="252" customWidth="1"/>
    <col min="3302" max="3318" width="9" style="252" customWidth="1"/>
    <col min="3319" max="3319" width="9.5" style="252" customWidth="1"/>
    <col min="3320" max="3346" width="9" style="252" customWidth="1"/>
    <col min="3347" max="3523" width="9" style="252"/>
    <col min="3524" max="3526" width="1.625" style="252" customWidth="1"/>
    <col min="3527" max="3527" width="5.875" style="252" customWidth="1"/>
    <col min="3528" max="3528" width="8.625" style="252" customWidth="1"/>
    <col min="3529" max="3530" width="6.625" style="252" customWidth="1"/>
    <col min="3531" max="3531" width="7.875" style="252" customWidth="1"/>
    <col min="3532" max="3532" width="7.5" style="252" customWidth="1"/>
    <col min="3533" max="3537" width="6.625" style="252" customWidth="1"/>
    <col min="3538" max="3538" width="3.5" style="252" customWidth="1"/>
    <col min="3539" max="3542" width="4.625" style="252" customWidth="1"/>
    <col min="3543" max="3544" width="8.625" style="252" customWidth="1"/>
    <col min="3545" max="3545" width="1.625" style="252" customWidth="1"/>
    <col min="3546" max="3548" width="9" style="252" customWidth="1"/>
    <col min="3549" max="3549" width="14" style="252" customWidth="1"/>
    <col min="3550" max="3550" width="10.25" style="252" customWidth="1"/>
    <col min="3551" max="3553" width="11.625" style="252" customWidth="1"/>
    <col min="3554" max="3554" width="10.5" style="252" customWidth="1"/>
    <col min="3555" max="3557" width="11.625" style="252" customWidth="1"/>
    <col min="3558" max="3574" width="9" style="252" customWidth="1"/>
    <col min="3575" max="3575" width="9.5" style="252" customWidth="1"/>
    <col min="3576" max="3602" width="9" style="252" customWidth="1"/>
    <col min="3603" max="3779" width="9" style="252"/>
    <col min="3780" max="3782" width="1.625" style="252" customWidth="1"/>
    <col min="3783" max="3783" width="5.875" style="252" customWidth="1"/>
    <col min="3784" max="3784" width="8.625" style="252" customWidth="1"/>
    <col min="3785" max="3786" width="6.625" style="252" customWidth="1"/>
    <col min="3787" max="3787" width="7.875" style="252" customWidth="1"/>
    <col min="3788" max="3788" width="7.5" style="252" customWidth="1"/>
    <col min="3789" max="3793" width="6.625" style="252" customWidth="1"/>
    <col min="3794" max="3794" width="3.5" style="252" customWidth="1"/>
    <col min="3795" max="3798" width="4.625" style="252" customWidth="1"/>
    <col min="3799" max="3800" width="8.625" style="252" customWidth="1"/>
    <col min="3801" max="3801" width="1.625" style="252" customWidth="1"/>
    <col min="3802" max="3804" width="9" style="252" customWidth="1"/>
    <col min="3805" max="3805" width="14" style="252" customWidth="1"/>
    <col min="3806" max="3806" width="10.25" style="252" customWidth="1"/>
    <col min="3807" max="3809" width="11.625" style="252" customWidth="1"/>
    <col min="3810" max="3810" width="10.5" style="252" customWidth="1"/>
    <col min="3811" max="3813" width="11.625" style="252" customWidth="1"/>
    <col min="3814" max="3830" width="9" style="252" customWidth="1"/>
    <col min="3831" max="3831" width="9.5" style="252" customWidth="1"/>
    <col min="3832" max="3858" width="9" style="252" customWidth="1"/>
    <col min="3859" max="4035" width="9" style="252"/>
    <col min="4036" max="4038" width="1.625" style="252" customWidth="1"/>
    <col min="4039" max="4039" width="5.875" style="252" customWidth="1"/>
    <col min="4040" max="4040" width="8.625" style="252" customWidth="1"/>
    <col min="4041" max="4042" width="6.625" style="252" customWidth="1"/>
    <col min="4043" max="4043" width="7.875" style="252" customWidth="1"/>
    <col min="4044" max="4044" width="7.5" style="252" customWidth="1"/>
    <col min="4045" max="4049" width="6.625" style="252" customWidth="1"/>
    <col min="4050" max="4050" width="3.5" style="252" customWidth="1"/>
    <col min="4051" max="4054" width="4.625" style="252" customWidth="1"/>
    <col min="4055" max="4056" width="8.625" style="252" customWidth="1"/>
    <col min="4057" max="4057" width="1.625" style="252" customWidth="1"/>
    <col min="4058" max="4060" width="9" style="252" customWidth="1"/>
    <col min="4061" max="4061" width="14" style="252" customWidth="1"/>
    <col min="4062" max="4062" width="10.25" style="252" customWidth="1"/>
    <col min="4063" max="4065" width="11.625" style="252" customWidth="1"/>
    <col min="4066" max="4066" width="10.5" style="252" customWidth="1"/>
    <col min="4067" max="4069" width="11.625" style="252" customWidth="1"/>
    <col min="4070" max="4086" width="9" style="252" customWidth="1"/>
    <col min="4087" max="4087" width="9.5" style="252" customWidth="1"/>
    <col min="4088" max="4114" width="9" style="252" customWidth="1"/>
    <col min="4115" max="4291" width="9" style="252"/>
    <col min="4292" max="4294" width="1.625" style="252" customWidth="1"/>
    <col min="4295" max="4295" width="5.875" style="252" customWidth="1"/>
    <col min="4296" max="4296" width="8.625" style="252" customWidth="1"/>
    <col min="4297" max="4298" width="6.625" style="252" customWidth="1"/>
    <col min="4299" max="4299" width="7.875" style="252" customWidth="1"/>
    <col min="4300" max="4300" width="7.5" style="252" customWidth="1"/>
    <col min="4301" max="4305" width="6.625" style="252" customWidth="1"/>
    <col min="4306" max="4306" width="3.5" style="252" customWidth="1"/>
    <col min="4307" max="4310" width="4.625" style="252" customWidth="1"/>
    <col min="4311" max="4312" width="8.625" style="252" customWidth="1"/>
    <col min="4313" max="4313" width="1.625" style="252" customWidth="1"/>
    <col min="4314" max="4316" width="9" style="252" customWidth="1"/>
    <col min="4317" max="4317" width="14" style="252" customWidth="1"/>
    <col min="4318" max="4318" width="10.25" style="252" customWidth="1"/>
    <col min="4319" max="4321" width="11.625" style="252" customWidth="1"/>
    <col min="4322" max="4322" width="10.5" style="252" customWidth="1"/>
    <col min="4323" max="4325" width="11.625" style="252" customWidth="1"/>
    <col min="4326" max="4342" width="9" style="252" customWidth="1"/>
    <col min="4343" max="4343" width="9.5" style="252" customWidth="1"/>
    <col min="4344" max="4370" width="9" style="252" customWidth="1"/>
    <col min="4371" max="4547" width="9" style="252"/>
    <col min="4548" max="4550" width="1.625" style="252" customWidth="1"/>
    <col min="4551" max="4551" width="5.875" style="252" customWidth="1"/>
    <col min="4552" max="4552" width="8.625" style="252" customWidth="1"/>
    <col min="4553" max="4554" width="6.625" style="252" customWidth="1"/>
    <col min="4555" max="4555" width="7.875" style="252" customWidth="1"/>
    <col min="4556" max="4556" width="7.5" style="252" customWidth="1"/>
    <col min="4557" max="4561" width="6.625" style="252" customWidth="1"/>
    <col min="4562" max="4562" width="3.5" style="252" customWidth="1"/>
    <col min="4563" max="4566" width="4.625" style="252" customWidth="1"/>
    <col min="4567" max="4568" width="8.625" style="252" customWidth="1"/>
    <col min="4569" max="4569" width="1.625" style="252" customWidth="1"/>
    <col min="4570" max="4572" width="9" style="252" customWidth="1"/>
    <col min="4573" max="4573" width="14" style="252" customWidth="1"/>
    <col min="4574" max="4574" width="10.25" style="252" customWidth="1"/>
    <col min="4575" max="4577" width="11.625" style="252" customWidth="1"/>
    <col min="4578" max="4578" width="10.5" style="252" customWidth="1"/>
    <col min="4579" max="4581" width="11.625" style="252" customWidth="1"/>
    <col min="4582" max="4598" width="9" style="252" customWidth="1"/>
    <col min="4599" max="4599" width="9.5" style="252" customWidth="1"/>
    <col min="4600" max="4626" width="9" style="252" customWidth="1"/>
    <col min="4627" max="4803" width="9" style="252"/>
    <col min="4804" max="4806" width="1.625" style="252" customWidth="1"/>
    <col min="4807" max="4807" width="5.875" style="252" customWidth="1"/>
    <col min="4808" max="4808" width="8.625" style="252" customWidth="1"/>
    <col min="4809" max="4810" width="6.625" style="252" customWidth="1"/>
    <col min="4811" max="4811" width="7.875" style="252" customWidth="1"/>
    <col min="4812" max="4812" width="7.5" style="252" customWidth="1"/>
    <col min="4813" max="4817" width="6.625" style="252" customWidth="1"/>
    <col min="4818" max="4818" width="3.5" style="252" customWidth="1"/>
    <col min="4819" max="4822" width="4.625" style="252" customWidth="1"/>
    <col min="4823" max="4824" width="8.625" style="252" customWidth="1"/>
    <col min="4825" max="4825" width="1.625" style="252" customWidth="1"/>
    <col min="4826" max="4828" width="9" style="252" customWidth="1"/>
    <col min="4829" max="4829" width="14" style="252" customWidth="1"/>
    <col min="4830" max="4830" width="10.25" style="252" customWidth="1"/>
    <col min="4831" max="4833" width="11.625" style="252" customWidth="1"/>
    <col min="4834" max="4834" width="10.5" style="252" customWidth="1"/>
    <col min="4835" max="4837" width="11.625" style="252" customWidth="1"/>
    <col min="4838" max="4854" width="9" style="252" customWidth="1"/>
    <col min="4855" max="4855" width="9.5" style="252" customWidth="1"/>
    <col min="4856" max="4882" width="9" style="252" customWidth="1"/>
    <col min="4883" max="5059" width="9" style="252"/>
    <col min="5060" max="5062" width="1.625" style="252" customWidth="1"/>
    <col min="5063" max="5063" width="5.875" style="252" customWidth="1"/>
    <col min="5064" max="5064" width="8.625" style="252" customWidth="1"/>
    <col min="5065" max="5066" width="6.625" style="252" customWidth="1"/>
    <col min="5067" max="5067" width="7.875" style="252" customWidth="1"/>
    <col min="5068" max="5068" width="7.5" style="252" customWidth="1"/>
    <col min="5069" max="5073" width="6.625" style="252" customWidth="1"/>
    <col min="5074" max="5074" width="3.5" style="252" customWidth="1"/>
    <col min="5075" max="5078" width="4.625" style="252" customWidth="1"/>
    <col min="5079" max="5080" width="8.625" style="252" customWidth="1"/>
    <col min="5081" max="5081" width="1.625" style="252" customWidth="1"/>
    <col min="5082" max="5084" width="9" style="252" customWidth="1"/>
    <col min="5085" max="5085" width="14" style="252" customWidth="1"/>
    <col min="5086" max="5086" width="10.25" style="252" customWidth="1"/>
    <col min="5087" max="5089" width="11.625" style="252" customWidth="1"/>
    <col min="5090" max="5090" width="10.5" style="252" customWidth="1"/>
    <col min="5091" max="5093" width="11.625" style="252" customWidth="1"/>
    <col min="5094" max="5110" width="9" style="252" customWidth="1"/>
    <col min="5111" max="5111" width="9.5" style="252" customWidth="1"/>
    <col min="5112" max="5138" width="9" style="252" customWidth="1"/>
    <col min="5139" max="5315" width="9" style="252"/>
    <col min="5316" max="5318" width="1.625" style="252" customWidth="1"/>
    <col min="5319" max="5319" width="5.875" style="252" customWidth="1"/>
    <col min="5320" max="5320" width="8.625" style="252" customWidth="1"/>
    <col min="5321" max="5322" width="6.625" style="252" customWidth="1"/>
    <col min="5323" max="5323" width="7.875" style="252" customWidth="1"/>
    <col min="5324" max="5324" width="7.5" style="252" customWidth="1"/>
    <col min="5325" max="5329" width="6.625" style="252" customWidth="1"/>
    <col min="5330" max="5330" width="3.5" style="252" customWidth="1"/>
    <col min="5331" max="5334" width="4.625" style="252" customWidth="1"/>
    <col min="5335" max="5336" width="8.625" style="252" customWidth="1"/>
    <col min="5337" max="5337" width="1.625" style="252" customWidth="1"/>
    <col min="5338" max="5340" width="9" style="252" customWidth="1"/>
    <col min="5341" max="5341" width="14" style="252" customWidth="1"/>
    <col min="5342" max="5342" width="10.25" style="252" customWidth="1"/>
    <col min="5343" max="5345" width="11.625" style="252" customWidth="1"/>
    <col min="5346" max="5346" width="10.5" style="252" customWidth="1"/>
    <col min="5347" max="5349" width="11.625" style="252" customWidth="1"/>
    <col min="5350" max="5366" width="9" style="252" customWidth="1"/>
    <col min="5367" max="5367" width="9.5" style="252" customWidth="1"/>
    <col min="5368" max="5394" width="9" style="252" customWidth="1"/>
    <col min="5395" max="5571" width="9" style="252"/>
    <col min="5572" max="5574" width="1.625" style="252" customWidth="1"/>
    <col min="5575" max="5575" width="5.875" style="252" customWidth="1"/>
    <col min="5576" max="5576" width="8.625" style="252" customWidth="1"/>
    <col min="5577" max="5578" width="6.625" style="252" customWidth="1"/>
    <col min="5579" max="5579" width="7.875" style="252" customWidth="1"/>
    <col min="5580" max="5580" width="7.5" style="252" customWidth="1"/>
    <col min="5581" max="5585" width="6.625" style="252" customWidth="1"/>
    <col min="5586" max="5586" width="3.5" style="252" customWidth="1"/>
    <col min="5587" max="5590" width="4.625" style="252" customWidth="1"/>
    <col min="5591" max="5592" width="8.625" style="252" customWidth="1"/>
    <col min="5593" max="5593" width="1.625" style="252" customWidth="1"/>
    <col min="5594" max="5596" width="9" style="252" customWidth="1"/>
    <col min="5597" max="5597" width="14" style="252" customWidth="1"/>
    <col min="5598" max="5598" width="10.25" style="252" customWidth="1"/>
    <col min="5599" max="5601" width="11.625" style="252" customWidth="1"/>
    <col min="5602" max="5602" width="10.5" style="252" customWidth="1"/>
    <col min="5603" max="5605" width="11.625" style="252" customWidth="1"/>
    <col min="5606" max="5622" width="9" style="252" customWidth="1"/>
    <col min="5623" max="5623" width="9.5" style="252" customWidth="1"/>
    <col min="5624" max="5650" width="9" style="252" customWidth="1"/>
    <col min="5651" max="5827" width="9" style="252"/>
    <col min="5828" max="5830" width="1.625" style="252" customWidth="1"/>
    <col min="5831" max="5831" width="5.875" style="252" customWidth="1"/>
    <col min="5832" max="5832" width="8.625" style="252" customWidth="1"/>
    <col min="5833" max="5834" width="6.625" style="252" customWidth="1"/>
    <col min="5835" max="5835" width="7.875" style="252" customWidth="1"/>
    <col min="5836" max="5836" width="7.5" style="252" customWidth="1"/>
    <col min="5837" max="5841" width="6.625" style="252" customWidth="1"/>
    <col min="5842" max="5842" width="3.5" style="252" customWidth="1"/>
    <col min="5843" max="5846" width="4.625" style="252" customWidth="1"/>
    <col min="5847" max="5848" width="8.625" style="252" customWidth="1"/>
    <col min="5849" max="5849" width="1.625" style="252" customWidth="1"/>
    <col min="5850" max="5852" width="9" style="252" customWidth="1"/>
    <col min="5853" max="5853" width="14" style="252" customWidth="1"/>
    <col min="5854" max="5854" width="10.25" style="252" customWidth="1"/>
    <col min="5855" max="5857" width="11.625" style="252" customWidth="1"/>
    <col min="5858" max="5858" width="10.5" style="252" customWidth="1"/>
    <col min="5859" max="5861" width="11.625" style="252" customWidth="1"/>
    <col min="5862" max="5878" width="9" style="252" customWidth="1"/>
    <col min="5879" max="5879" width="9.5" style="252" customWidth="1"/>
    <col min="5880" max="5906" width="9" style="252" customWidth="1"/>
    <col min="5907" max="6083" width="9" style="252"/>
    <col min="6084" max="6086" width="1.625" style="252" customWidth="1"/>
    <col min="6087" max="6087" width="5.875" style="252" customWidth="1"/>
    <col min="6088" max="6088" width="8.625" style="252" customWidth="1"/>
    <col min="6089" max="6090" width="6.625" style="252" customWidth="1"/>
    <col min="6091" max="6091" width="7.875" style="252" customWidth="1"/>
    <col min="6092" max="6092" width="7.5" style="252" customWidth="1"/>
    <col min="6093" max="6097" width="6.625" style="252" customWidth="1"/>
    <col min="6098" max="6098" width="3.5" style="252" customWidth="1"/>
    <col min="6099" max="6102" width="4.625" style="252" customWidth="1"/>
    <col min="6103" max="6104" width="8.625" style="252" customWidth="1"/>
    <col min="6105" max="6105" width="1.625" style="252" customWidth="1"/>
    <col min="6106" max="6108" width="9" style="252" customWidth="1"/>
    <col min="6109" max="6109" width="14" style="252" customWidth="1"/>
    <col min="6110" max="6110" width="10.25" style="252" customWidth="1"/>
    <col min="6111" max="6113" width="11.625" style="252" customWidth="1"/>
    <col min="6114" max="6114" width="10.5" style="252" customWidth="1"/>
    <col min="6115" max="6117" width="11.625" style="252" customWidth="1"/>
    <col min="6118" max="6134" width="9" style="252" customWidth="1"/>
    <col min="6135" max="6135" width="9.5" style="252" customWidth="1"/>
    <col min="6136" max="6162" width="9" style="252" customWidth="1"/>
    <col min="6163" max="6339" width="9" style="252"/>
    <col min="6340" max="6342" width="1.625" style="252" customWidth="1"/>
    <col min="6343" max="6343" width="5.875" style="252" customWidth="1"/>
    <col min="6344" max="6344" width="8.625" style="252" customWidth="1"/>
    <col min="6345" max="6346" width="6.625" style="252" customWidth="1"/>
    <col min="6347" max="6347" width="7.875" style="252" customWidth="1"/>
    <col min="6348" max="6348" width="7.5" style="252" customWidth="1"/>
    <col min="6349" max="6353" width="6.625" style="252" customWidth="1"/>
    <col min="6354" max="6354" width="3.5" style="252" customWidth="1"/>
    <col min="6355" max="6358" width="4.625" style="252" customWidth="1"/>
    <col min="6359" max="6360" width="8.625" style="252" customWidth="1"/>
    <col min="6361" max="6361" width="1.625" style="252" customWidth="1"/>
    <col min="6362" max="6364" width="9" style="252" customWidth="1"/>
    <col min="6365" max="6365" width="14" style="252" customWidth="1"/>
    <col min="6366" max="6366" width="10.25" style="252" customWidth="1"/>
    <col min="6367" max="6369" width="11.625" style="252" customWidth="1"/>
    <col min="6370" max="6370" width="10.5" style="252" customWidth="1"/>
    <col min="6371" max="6373" width="11.625" style="252" customWidth="1"/>
    <col min="6374" max="6390" width="9" style="252" customWidth="1"/>
    <col min="6391" max="6391" width="9.5" style="252" customWidth="1"/>
    <col min="6392" max="6418" width="9" style="252" customWidth="1"/>
    <col min="6419" max="6595" width="9" style="252"/>
    <col min="6596" max="6598" width="1.625" style="252" customWidth="1"/>
    <col min="6599" max="6599" width="5.875" style="252" customWidth="1"/>
    <col min="6600" max="6600" width="8.625" style="252" customWidth="1"/>
    <col min="6601" max="6602" width="6.625" style="252" customWidth="1"/>
    <col min="6603" max="6603" width="7.875" style="252" customWidth="1"/>
    <col min="6604" max="6604" width="7.5" style="252" customWidth="1"/>
    <col min="6605" max="6609" width="6.625" style="252" customWidth="1"/>
    <col min="6610" max="6610" width="3.5" style="252" customWidth="1"/>
    <col min="6611" max="6614" width="4.625" style="252" customWidth="1"/>
    <col min="6615" max="6616" width="8.625" style="252" customWidth="1"/>
    <col min="6617" max="6617" width="1.625" style="252" customWidth="1"/>
    <col min="6618" max="6620" width="9" style="252" customWidth="1"/>
    <col min="6621" max="6621" width="14" style="252" customWidth="1"/>
    <col min="6622" max="6622" width="10.25" style="252" customWidth="1"/>
    <col min="6623" max="6625" width="11.625" style="252" customWidth="1"/>
    <col min="6626" max="6626" width="10.5" style="252" customWidth="1"/>
    <col min="6627" max="6629" width="11.625" style="252" customWidth="1"/>
    <col min="6630" max="6646" width="9" style="252" customWidth="1"/>
    <col min="6647" max="6647" width="9.5" style="252" customWidth="1"/>
    <col min="6648" max="6674" width="9" style="252" customWidth="1"/>
    <col min="6675" max="6851" width="9" style="252"/>
    <col min="6852" max="6854" width="1.625" style="252" customWidth="1"/>
    <col min="6855" max="6855" width="5.875" style="252" customWidth="1"/>
    <col min="6856" max="6856" width="8.625" style="252" customWidth="1"/>
    <col min="6857" max="6858" width="6.625" style="252" customWidth="1"/>
    <col min="6859" max="6859" width="7.875" style="252" customWidth="1"/>
    <col min="6860" max="6860" width="7.5" style="252" customWidth="1"/>
    <col min="6861" max="6865" width="6.625" style="252" customWidth="1"/>
    <col min="6866" max="6866" width="3.5" style="252" customWidth="1"/>
    <col min="6867" max="6870" width="4.625" style="252" customWidth="1"/>
    <col min="6871" max="6872" width="8.625" style="252" customWidth="1"/>
    <col min="6873" max="6873" width="1.625" style="252" customWidth="1"/>
    <col min="6874" max="6876" width="9" style="252" customWidth="1"/>
    <col min="6877" max="6877" width="14" style="252" customWidth="1"/>
    <col min="6878" max="6878" width="10.25" style="252" customWidth="1"/>
    <col min="6879" max="6881" width="11.625" style="252" customWidth="1"/>
    <col min="6882" max="6882" width="10.5" style="252" customWidth="1"/>
    <col min="6883" max="6885" width="11.625" style="252" customWidth="1"/>
    <col min="6886" max="6902" width="9" style="252" customWidth="1"/>
    <col min="6903" max="6903" width="9.5" style="252" customWidth="1"/>
    <col min="6904" max="6930" width="9" style="252" customWidth="1"/>
    <col min="6931" max="7107" width="9" style="252"/>
    <col min="7108" max="7110" width="1.625" style="252" customWidth="1"/>
    <col min="7111" max="7111" width="5.875" style="252" customWidth="1"/>
    <col min="7112" max="7112" width="8.625" style="252" customWidth="1"/>
    <col min="7113" max="7114" width="6.625" style="252" customWidth="1"/>
    <col min="7115" max="7115" width="7.875" style="252" customWidth="1"/>
    <col min="7116" max="7116" width="7.5" style="252" customWidth="1"/>
    <col min="7117" max="7121" width="6.625" style="252" customWidth="1"/>
    <col min="7122" max="7122" width="3.5" style="252" customWidth="1"/>
    <col min="7123" max="7126" width="4.625" style="252" customWidth="1"/>
    <col min="7127" max="7128" width="8.625" style="252" customWidth="1"/>
    <col min="7129" max="7129" width="1.625" style="252" customWidth="1"/>
    <col min="7130" max="7132" width="9" style="252" customWidth="1"/>
    <col min="7133" max="7133" width="14" style="252" customWidth="1"/>
    <col min="7134" max="7134" width="10.25" style="252" customWidth="1"/>
    <col min="7135" max="7137" width="11.625" style="252" customWidth="1"/>
    <col min="7138" max="7138" width="10.5" style="252" customWidth="1"/>
    <col min="7139" max="7141" width="11.625" style="252" customWidth="1"/>
    <col min="7142" max="7158" width="9" style="252" customWidth="1"/>
    <col min="7159" max="7159" width="9.5" style="252" customWidth="1"/>
    <col min="7160" max="7186" width="9" style="252" customWidth="1"/>
    <col min="7187" max="7363" width="9" style="252"/>
    <col min="7364" max="7366" width="1.625" style="252" customWidth="1"/>
    <col min="7367" max="7367" width="5.875" style="252" customWidth="1"/>
    <col min="7368" max="7368" width="8.625" style="252" customWidth="1"/>
    <col min="7369" max="7370" width="6.625" style="252" customWidth="1"/>
    <col min="7371" max="7371" width="7.875" style="252" customWidth="1"/>
    <col min="7372" max="7372" width="7.5" style="252" customWidth="1"/>
    <col min="7373" max="7377" width="6.625" style="252" customWidth="1"/>
    <col min="7378" max="7378" width="3.5" style="252" customWidth="1"/>
    <col min="7379" max="7382" width="4.625" style="252" customWidth="1"/>
    <col min="7383" max="7384" width="8.625" style="252" customWidth="1"/>
    <col min="7385" max="7385" width="1.625" style="252" customWidth="1"/>
    <col min="7386" max="7388" width="9" style="252" customWidth="1"/>
    <col min="7389" max="7389" width="14" style="252" customWidth="1"/>
    <col min="7390" max="7390" width="10.25" style="252" customWidth="1"/>
    <col min="7391" max="7393" width="11.625" style="252" customWidth="1"/>
    <col min="7394" max="7394" width="10.5" style="252" customWidth="1"/>
    <col min="7395" max="7397" width="11.625" style="252" customWidth="1"/>
    <col min="7398" max="7414" width="9" style="252" customWidth="1"/>
    <col min="7415" max="7415" width="9.5" style="252" customWidth="1"/>
    <col min="7416" max="7442" width="9" style="252" customWidth="1"/>
    <col min="7443" max="7619" width="9" style="252"/>
    <col min="7620" max="7622" width="1.625" style="252" customWidth="1"/>
    <col min="7623" max="7623" width="5.875" style="252" customWidth="1"/>
    <col min="7624" max="7624" width="8.625" style="252" customWidth="1"/>
    <col min="7625" max="7626" width="6.625" style="252" customWidth="1"/>
    <col min="7627" max="7627" width="7.875" style="252" customWidth="1"/>
    <col min="7628" max="7628" width="7.5" style="252" customWidth="1"/>
    <col min="7629" max="7633" width="6.625" style="252" customWidth="1"/>
    <col min="7634" max="7634" width="3.5" style="252" customWidth="1"/>
    <col min="7635" max="7638" width="4.625" style="252" customWidth="1"/>
    <col min="7639" max="7640" width="8.625" style="252" customWidth="1"/>
    <col min="7641" max="7641" width="1.625" style="252" customWidth="1"/>
    <col min="7642" max="7644" width="9" style="252" customWidth="1"/>
    <col min="7645" max="7645" width="14" style="252" customWidth="1"/>
    <col min="7646" max="7646" width="10.25" style="252" customWidth="1"/>
    <col min="7647" max="7649" width="11.625" style="252" customWidth="1"/>
    <col min="7650" max="7650" width="10.5" style="252" customWidth="1"/>
    <col min="7651" max="7653" width="11.625" style="252" customWidth="1"/>
    <col min="7654" max="7670" width="9" style="252" customWidth="1"/>
    <col min="7671" max="7671" width="9.5" style="252" customWidth="1"/>
    <col min="7672" max="7698" width="9" style="252" customWidth="1"/>
    <col min="7699" max="7875" width="9" style="252"/>
    <col min="7876" max="7878" width="1.625" style="252" customWidth="1"/>
    <col min="7879" max="7879" width="5.875" style="252" customWidth="1"/>
    <col min="7880" max="7880" width="8.625" style="252" customWidth="1"/>
    <col min="7881" max="7882" width="6.625" style="252" customWidth="1"/>
    <col min="7883" max="7883" width="7.875" style="252" customWidth="1"/>
    <col min="7884" max="7884" width="7.5" style="252" customWidth="1"/>
    <col min="7885" max="7889" width="6.625" style="252" customWidth="1"/>
    <col min="7890" max="7890" width="3.5" style="252" customWidth="1"/>
    <col min="7891" max="7894" width="4.625" style="252" customWidth="1"/>
    <col min="7895" max="7896" width="8.625" style="252" customWidth="1"/>
    <col min="7897" max="7897" width="1.625" style="252" customWidth="1"/>
    <col min="7898" max="7900" width="9" style="252" customWidth="1"/>
    <col min="7901" max="7901" width="14" style="252" customWidth="1"/>
    <col min="7902" max="7902" width="10.25" style="252" customWidth="1"/>
    <col min="7903" max="7905" width="11.625" style="252" customWidth="1"/>
    <col min="7906" max="7906" width="10.5" style="252" customWidth="1"/>
    <col min="7907" max="7909" width="11.625" style="252" customWidth="1"/>
    <col min="7910" max="7926" width="9" style="252" customWidth="1"/>
    <col min="7927" max="7927" width="9.5" style="252" customWidth="1"/>
    <col min="7928" max="7954" width="9" style="252" customWidth="1"/>
    <col min="7955" max="8131" width="9" style="252"/>
    <col min="8132" max="8134" width="1.625" style="252" customWidth="1"/>
    <col min="8135" max="8135" width="5.875" style="252" customWidth="1"/>
    <col min="8136" max="8136" width="8.625" style="252" customWidth="1"/>
    <col min="8137" max="8138" width="6.625" style="252" customWidth="1"/>
    <col min="8139" max="8139" width="7.875" style="252" customWidth="1"/>
    <col min="8140" max="8140" width="7.5" style="252" customWidth="1"/>
    <col min="8141" max="8145" width="6.625" style="252" customWidth="1"/>
    <col min="8146" max="8146" width="3.5" style="252" customWidth="1"/>
    <col min="8147" max="8150" width="4.625" style="252" customWidth="1"/>
    <col min="8151" max="8152" width="8.625" style="252" customWidth="1"/>
    <col min="8153" max="8153" width="1.625" style="252" customWidth="1"/>
    <col min="8154" max="8156" width="9" style="252" customWidth="1"/>
    <col min="8157" max="8157" width="14" style="252" customWidth="1"/>
    <col min="8158" max="8158" width="10.25" style="252" customWidth="1"/>
    <col min="8159" max="8161" width="11.625" style="252" customWidth="1"/>
    <col min="8162" max="8162" width="10.5" style="252" customWidth="1"/>
    <col min="8163" max="8165" width="11.625" style="252" customWidth="1"/>
    <col min="8166" max="8182" width="9" style="252" customWidth="1"/>
    <col min="8183" max="8183" width="9.5" style="252" customWidth="1"/>
    <col min="8184" max="8210" width="9" style="252" customWidth="1"/>
    <col min="8211" max="8387" width="9" style="252"/>
    <col min="8388" max="8390" width="1.625" style="252" customWidth="1"/>
    <col min="8391" max="8391" width="5.875" style="252" customWidth="1"/>
    <col min="8392" max="8392" width="8.625" style="252" customWidth="1"/>
    <col min="8393" max="8394" width="6.625" style="252" customWidth="1"/>
    <col min="8395" max="8395" width="7.875" style="252" customWidth="1"/>
    <col min="8396" max="8396" width="7.5" style="252" customWidth="1"/>
    <col min="8397" max="8401" width="6.625" style="252" customWidth="1"/>
    <col min="8402" max="8402" width="3.5" style="252" customWidth="1"/>
    <col min="8403" max="8406" width="4.625" style="252" customWidth="1"/>
    <col min="8407" max="8408" width="8.625" style="252" customWidth="1"/>
    <col min="8409" max="8409" width="1.625" style="252" customWidth="1"/>
    <col min="8410" max="8412" width="9" style="252" customWidth="1"/>
    <col min="8413" max="8413" width="14" style="252" customWidth="1"/>
    <col min="8414" max="8414" width="10.25" style="252" customWidth="1"/>
    <col min="8415" max="8417" width="11.625" style="252" customWidth="1"/>
    <col min="8418" max="8418" width="10.5" style="252" customWidth="1"/>
    <col min="8419" max="8421" width="11.625" style="252" customWidth="1"/>
    <col min="8422" max="8438" width="9" style="252" customWidth="1"/>
    <col min="8439" max="8439" width="9.5" style="252" customWidth="1"/>
    <col min="8440" max="8466" width="9" style="252" customWidth="1"/>
    <col min="8467" max="8643" width="9" style="252"/>
    <col min="8644" max="8646" width="1.625" style="252" customWidth="1"/>
    <col min="8647" max="8647" width="5.875" style="252" customWidth="1"/>
    <col min="8648" max="8648" width="8.625" style="252" customWidth="1"/>
    <col min="8649" max="8650" width="6.625" style="252" customWidth="1"/>
    <col min="8651" max="8651" width="7.875" style="252" customWidth="1"/>
    <col min="8652" max="8652" width="7.5" style="252" customWidth="1"/>
    <col min="8653" max="8657" width="6.625" style="252" customWidth="1"/>
    <col min="8658" max="8658" width="3.5" style="252" customWidth="1"/>
    <col min="8659" max="8662" width="4.625" style="252" customWidth="1"/>
    <col min="8663" max="8664" width="8.625" style="252" customWidth="1"/>
    <col min="8665" max="8665" width="1.625" style="252" customWidth="1"/>
    <col min="8666" max="8668" width="9" style="252" customWidth="1"/>
    <col min="8669" max="8669" width="14" style="252" customWidth="1"/>
    <col min="8670" max="8670" width="10.25" style="252" customWidth="1"/>
    <col min="8671" max="8673" width="11.625" style="252" customWidth="1"/>
    <col min="8674" max="8674" width="10.5" style="252" customWidth="1"/>
    <col min="8675" max="8677" width="11.625" style="252" customWidth="1"/>
    <col min="8678" max="8694" width="9" style="252" customWidth="1"/>
    <col min="8695" max="8695" width="9.5" style="252" customWidth="1"/>
    <col min="8696" max="8722" width="9" style="252" customWidth="1"/>
    <col min="8723" max="8899" width="9" style="252"/>
    <col min="8900" max="8902" width="1.625" style="252" customWidth="1"/>
    <col min="8903" max="8903" width="5.875" style="252" customWidth="1"/>
    <col min="8904" max="8904" width="8.625" style="252" customWidth="1"/>
    <col min="8905" max="8906" width="6.625" style="252" customWidth="1"/>
    <col min="8907" max="8907" width="7.875" style="252" customWidth="1"/>
    <col min="8908" max="8908" width="7.5" style="252" customWidth="1"/>
    <col min="8909" max="8913" width="6.625" style="252" customWidth="1"/>
    <col min="8914" max="8914" width="3.5" style="252" customWidth="1"/>
    <col min="8915" max="8918" width="4.625" style="252" customWidth="1"/>
    <col min="8919" max="8920" width="8.625" style="252" customWidth="1"/>
    <col min="8921" max="8921" width="1.625" style="252" customWidth="1"/>
    <col min="8922" max="8924" width="9" style="252" customWidth="1"/>
    <col min="8925" max="8925" width="14" style="252" customWidth="1"/>
    <col min="8926" max="8926" width="10.25" style="252" customWidth="1"/>
    <col min="8927" max="8929" width="11.625" style="252" customWidth="1"/>
    <col min="8930" max="8930" width="10.5" style="252" customWidth="1"/>
    <col min="8931" max="8933" width="11.625" style="252" customWidth="1"/>
    <col min="8934" max="8950" width="9" style="252" customWidth="1"/>
    <col min="8951" max="8951" width="9.5" style="252" customWidth="1"/>
    <col min="8952" max="8978" width="9" style="252" customWidth="1"/>
    <col min="8979" max="9155" width="9" style="252"/>
    <col min="9156" max="9158" width="1.625" style="252" customWidth="1"/>
    <col min="9159" max="9159" width="5.875" style="252" customWidth="1"/>
    <col min="9160" max="9160" width="8.625" style="252" customWidth="1"/>
    <col min="9161" max="9162" width="6.625" style="252" customWidth="1"/>
    <col min="9163" max="9163" width="7.875" style="252" customWidth="1"/>
    <col min="9164" max="9164" width="7.5" style="252" customWidth="1"/>
    <col min="9165" max="9169" width="6.625" style="252" customWidth="1"/>
    <col min="9170" max="9170" width="3.5" style="252" customWidth="1"/>
    <col min="9171" max="9174" width="4.625" style="252" customWidth="1"/>
    <col min="9175" max="9176" width="8.625" style="252" customWidth="1"/>
    <col min="9177" max="9177" width="1.625" style="252" customWidth="1"/>
    <col min="9178" max="9180" width="9" style="252" customWidth="1"/>
    <col min="9181" max="9181" width="14" style="252" customWidth="1"/>
    <col min="9182" max="9182" width="10.25" style="252" customWidth="1"/>
    <col min="9183" max="9185" width="11.625" style="252" customWidth="1"/>
    <col min="9186" max="9186" width="10.5" style="252" customWidth="1"/>
    <col min="9187" max="9189" width="11.625" style="252" customWidth="1"/>
    <col min="9190" max="9206" width="9" style="252" customWidth="1"/>
    <col min="9207" max="9207" width="9.5" style="252" customWidth="1"/>
    <col min="9208" max="9234" width="9" style="252" customWidth="1"/>
    <col min="9235" max="9411" width="9" style="252"/>
    <col min="9412" max="9414" width="1.625" style="252" customWidth="1"/>
    <col min="9415" max="9415" width="5.875" style="252" customWidth="1"/>
    <col min="9416" max="9416" width="8.625" style="252" customWidth="1"/>
    <col min="9417" max="9418" width="6.625" style="252" customWidth="1"/>
    <col min="9419" max="9419" width="7.875" style="252" customWidth="1"/>
    <col min="9420" max="9420" width="7.5" style="252" customWidth="1"/>
    <col min="9421" max="9425" width="6.625" style="252" customWidth="1"/>
    <col min="9426" max="9426" width="3.5" style="252" customWidth="1"/>
    <col min="9427" max="9430" width="4.625" style="252" customWidth="1"/>
    <col min="9431" max="9432" width="8.625" style="252" customWidth="1"/>
    <col min="9433" max="9433" width="1.625" style="252" customWidth="1"/>
    <col min="9434" max="9436" width="9" style="252" customWidth="1"/>
    <col min="9437" max="9437" width="14" style="252" customWidth="1"/>
    <col min="9438" max="9438" width="10.25" style="252" customWidth="1"/>
    <col min="9439" max="9441" width="11.625" style="252" customWidth="1"/>
    <col min="9442" max="9442" width="10.5" style="252" customWidth="1"/>
    <col min="9443" max="9445" width="11.625" style="252" customWidth="1"/>
    <col min="9446" max="9462" width="9" style="252" customWidth="1"/>
    <col min="9463" max="9463" width="9.5" style="252" customWidth="1"/>
    <col min="9464" max="9490" width="9" style="252" customWidth="1"/>
    <col min="9491" max="9667" width="9" style="252"/>
    <col min="9668" max="9670" width="1.625" style="252" customWidth="1"/>
    <col min="9671" max="9671" width="5.875" style="252" customWidth="1"/>
    <col min="9672" max="9672" width="8.625" style="252" customWidth="1"/>
    <col min="9673" max="9674" width="6.625" style="252" customWidth="1"/>
    <col min="9675" max="9675" width="7.875" style="252" customWidth="1"/>
    <col min="9676" max="9676" width="7.5" style="252" customWidth="1"/>
    <col min="9677" max="9681" width="6.625" style="252" customWidth="1"/>
    <col min="9682" max="9682" width="3.5" style="252" customWidth="1"/>
    <col min="9683" max="9686" width="4.625" style="252" customWidth="1"/>
    <col min="9687" max="9688" width="8.625" style="252" customWidth="1"/>
    <col min="9689" max="9689" width="1.625" style="252" customWidth="1"/>
    <col min="9690" max="9692" width="9" style="252" customWidth="1"/>
    <col min="9693" max="9693" width="14" style="252" customWidth="1"/>
    <col min="9694" max="9694" width="10.25" style="252" customWidth="1"/>
    <col min="9695" max="9697" width="11.625" style="252" customWidth="1"/>
    <col min="9698" max="9698" width="10.5" style="252" customWidth="1"/>
    <col min="9699" max="9701" width="11.625" style="252" customWidth="1"/>
    <col min="9702" max="9718" width="9" style="252" customWidth="1"/>
    <col min="9719" max="9719" width="9.5" style="252" customWidth="1"/>
    <col min="9720" max="9746" width="9" style="252" customWidth="1"/>
    <col min="9747" max="9923" width="9" style="252"/>
    <col min="9924" max="9926" width="1.625" style="252" customWidth="1"/>
    <col min="9927" max="9927" width="5.875" style="252" customWidth="1"/>
    <col min="9928" max="9928" width="8.625" style="252" customWidth="1"/>
    <col min="9929" max="9930" width="6.625" style="252" customWidth="1"/>
    <col min="9931" max="9931" width="7.875" style="252" customWidth="1"/>
    <col min="9932" max="9932" width="7.5" style="252" customWidth="1"/>
    <col min="9933" max="9937" width="6.625" style="252" customWidth="1"/>
    <col min="9938" max="9938" width="3.5" style="252" customWidth="1"/>
    <col min="9939" max="9942" width="4.625" style="252" customWidth="1"/>
    <col min="9943" max="9944" width="8.625" style="252" customWidth="1"/>
    <col min="9945" max="9945" width="1.625" style="252" customWidth="1"/>
    <col min="9946" max="9948" width="9" style="252" customWidth="1"/>
    <col min="9949" max="9949" width="14" style="252" customWidth="1"/>
    <col min="9950" max="9950" width="10.25" style="252" customWidth="1"/>
    <col min="9951" max="9953" width="11.625" style="252" customWidth="1"/>
    <col min="9954" max="9954" width="10.5" style="252" customWidth="1"/>
    <col min="9955" max="9957" width="11.625" style="252" customWidth="1"/>
    <col min="9958" max="9974" width="9" style="252" customWidth="1"/>
    <col min="9975" max="9975" width="9.5" style="252" customWidth="1"/>
    <col min="9976" max="10002" width="9" style="252" customWidth="1"/>
    <col min="10003" max="10179" width="9" style="252"/>
    <col min="10180" max="10182" width="1.625" style="252" customWidth="1"/>
    <col min="10183" max="10183" width="5.875" style="252" customWidth="1"/>
    <col min="10184" max="10184" width="8.625" style="252" customWidth="1"/>
    <col min="10185" max="10186" width="6.625" style="252" customWidth="1"/>
    <col min="10187" max="10187" width="7.875" style="252" customWidth="1"/>
    <col min="10188" max="10188" width="7.5" style="252" customWidth="1"/>
    <col min="10189" max="10193" width="6.625" style="252" customWidth="1"/>
    <col min="10194" max="10194" width="3.5" style="252" customWidth="1"/>
    <col min="10195" max="10198" width="4.625" style="252" customWidth="1"/>
    <col min="10199" max="10200" width="8.625" style="252" customWidth="1"/>
    <col min="10201" max="10201" width="1.625" style="252" customWidth="1"/>
    <col min="10202" max="10204" width="9" style="252" customWidth="1"/>
    <col min="10205" max="10205" width="14" style="252" customWidth="1"/>
    <col min="10206" max="10206" width="10.25" style="252" customWidth="1"/>
    <col min="10207" max="10209" width="11.625" style="252" customWidth="1"/>
    <col min="10210" max="10210" width="10.5" style="252" customWidth="1"/>
    <col min="10211" max="10213" width="11.625" style="252" customWidth="1"/>
    <col min="10214" max="10230" width="9" style="252" customWidth="1"/>
    <col min="10231" max="10231" width="9.5" style="252" customWidth="1"/>
    <col min="10232" max="10258" width="9" style="252" customWidth="1"/>
    <col min="10259" max="10435" width="9" style="252"/>
    <col min="10436" max="10438" width="1.625" style="252" customWidth="1"/>
    <col min="10439" max="10439" width="5.875" style="252" customWidth="1"/>
    <col min="10440" max="10440" width="8.625" style="252" customWidth="1"/>
    <col min="10441" max="10442" width="6.625" style="252" customWidth="1"/>
    <col min="10443" max="10443" width="7.875" style="252" customWidth="1"/>
    <col min="10444" max="10444" width="7.5" style="252" customWidth="1"/>
    <col min="10445" max="10449" width="6.625" style="252" customWidth="1"/>
    <col min="10450" max="10450" width="3.5" style="252" customWidth="1"/>
    <col min="10451" max="10454" width="4.625" style="252" customWidth="1"/>
    <col min="10455" max="10456" width="8.625" style="252" customWidth="1"/>
    <col min="10457" max="10457" width="1.625" style="252" customWidth="1"/>
    <col min="10458" max="10460" width="9" style="252" customWidth="1"/>
    <col min="10461" max="10461" width="14" style="252" customWidth="1"/>
    <col min="10462" max="10462" width="10.25" style="252" customWidth="1"/>
    <col min="10463" max="10465" width="11.625" style="252" customWidth="1"/>
    <col min="10466" max="10466" width="10.5" style="252" customWidth="1"/>
    <col min="10467" max="10469" width="11.625" style="252" customWidth="1"/>
    <col min="10470" max="10486" width="9" style="252" customWidth="1"/>
    <col min="10487" max="10487" width="9.5" style="252" customWidth="1"/>
    <col min="10488" max="10514" width="9" style="252" customWidth="1"/>
    <col min="10515" max="10691" width="9" style="252"/>
    <col min="10692" max="10694" width="1.625" style="252" customWidth="1"/>
    <col min="10695" max="10695" width="5.875" style="252" customWidth="1"/>
    <col min="10696" max="10696" width="8.625" style="252" customWidth="1"/>
    <col min="10697" max="10698" width="6.625" style="252" customWidth="1"/>
    <col min="10699" max="10699" width="7.875" style="252" customWidth="1"/>
    <col min="10700" max="10700" width="7.5" style="252" customWidth="1"/>
    <col min="10701" max="10705" width="6.625" style="252" customWidth="1"/>
    <col min="10706" max="10706" width="3.5" style="252" customWidth="1"/>
    <col min="10707" max="10710" width="4.625" style="252" customWidth="1"/>
    <col min="10711" max="10712" width="8.625" style="252" customWidth="1"/>
    <col min="10713" max="10713" width="1.625" style="252" customWidth="1"/>
    <col min="10714" max="10716" width="9" style="252" customWidth="1"/>
    <col min="10717" max="10717" width="14" style="252" customWidth="1"/>
    <col min="10718" max="10718" width="10.25" style="252" customWidth="1"/>
    <col min="10719" max="10721" width="11.625" style="252" customWidth="1"/>
    <col min="10722" max="10722" width="10.5" style="252" customWidth="1"/>
    <col min="10723" max="10725" width="11.625" style="252" customWidth="1"/>
    <col min="10726" max="10742" width="9" style="252" customWidth="1"/>
    <col min="10743" max="10743" width="9.5" style="252" customWidth="1"/>
    <col min="10744" max="10770" width="9" style="252" customWidth="1"/>
    <col min="10771" max="10947" width="9" style="252"/>
    <col min="10948" max="10950" width="1.625" style="252" customWidth="1"/>
    <col min="10951" max="10951" width="5.875" style="252" customWidth="1"/>
    <col min="10952" max="10952" width="8.625" style="252" customWidth="1"/>
    <col min="10953" max="10954" width="6.625" style="252" customWidth="1"/>
    <col min="10955" max="10955" width="7.875" style="252" customWidth="1"/>
    <col min="10956" max="10956" width="7.5" style="252" customWidth="1"/>
    <col min="10957" max="10961" width="6.625" style="252" customWidth="1"/>
    <col min="10962" max="10962" width="3.5" style="252" customWidth="1"/>
    <col min="10963" max="10966" width="4.625" style="252" customWidth="1"/>
    <col min="10967" max="10968" width="8.625" style="252" customWidth="1"/>
    <col min="10969" max="10969" width="1.625" style="252" customWidth="1"/>
    <col min="10970" max="10972" width="9" style="252" customWidth="1"/>
    <col min="10973" max="10973" width="14" style="252" customWidth="1"/>
    <col min="10974" max="10974" width="10.25" style="252" customWidth="1"/>
    <col min="10975" max="10977" width="11.625" style="252" customWidth="1"/>
    <col min="10978" max="10978" width="10.5" style="252" customWidth="1"/>
    <col min="10979" max="10981" width="11.625" style="252" customWidth="1"/>
    <col min="10982" max="10998" width="9" style="252" customWidth="1"/>
    <col min="10999" max="10999" width="9.5" style="252" customWidth="1"/>
    <col min="11000" max="11026" width="9" style="252" customWidth="1"/>
    <col min="11027" max="11203" width="9" style="252"/>
    <col min="11204" max="11206" width="1.625" style="252" customWidth="1"/>
    <col min="11207" max="11207" width="5.875" style="252" customWidth="1"/>
    <col min="11208" max="11208" width="8.625" style="252" customWidth="1"/>
    <col min="11209" max="11210" width="6.625" style="252" customWidth="1"/>
    <col min="11211" max="11211" width="7.875" style="252" customWidth="1"/>
    <col min="11212" max="11212" width="7.5" style="252" customWidth="1"/>
    <col min="11213" max="11217" width="6.625" style="252" customWidth="1"/>
    <col min="11218" max="11218" width="3.5" style="252" customWidth="1"/>
    <col min="11219" max="11222" width="4.625" style="252" customWidth="1"/>
    <col min="11223" max="11224" width="8.625" style="252" customWidth="1"/>
    <col min="11225" max="11225" width="1.625" style="252" customWidth="1"/>
    <col min="11226" max="11228" width="9" style="252" customWidth="1"/>
    <col min="11229" max="11229" width="14" style="252" customWidth="1"/>
    <col min="11230" max="11230" width="10.25" style="252" customWidth="1"/>
    <col min="11231" max="11233" width="11.625" style="252" customWidth="1"/>
    <col min="11234" max="11234" width="10.5" style="252" customWidth="1"/>
    <col min="11235" max="11237" width="11.625" style="252" customWidth="1"/>
    <col min="11238" max="11254" width="9" style="252" customWidth="1"/>
    <col min="11255" max="11255" width="9.5" style="252" customWidth="1"/>
    <col min="11256" max="11282" width="9" style="252" customWidth="1"/>
    <col min="11283" max="11459" width="9" style="252"/>
    <col min="11460" max="11462" width="1.625" style="252" customWidth="1"/>
    <col min="11463" max="11463" width="5.875" style="252" customWidth="1"/>
    <col min="11464" max="11464" width="8.625" style="252" customWidth="1"/>
    <col min="11465" max="11466" width="6.625" style="252" customWidth="1"/>
    <col min="11467" max="11467" width="7.875" style="252" customWidth="1"/>
    <col min="11468" max="11468" width="7.5" style="252" customWidth="1"/>
    <col min="11469" max="11473" width="6.625" style="252" customWidth="1"/>
    <col min="11474" max="11474" width="3.5" style="252" customWidth="1"/>
    <col min="11475" max="11478" width="4.625" style="252" customWidth="1"/>
    <col min="11479" max="11480" width="8.625" style="252" customWidth="1"/>
    <col min="11481" max="11481" width="1.625" style="252" customWidth="1"/>
    <col min="11482" max="11484" width="9" style="252" customWidth="1"/>
    <col min="11485" max="11485" width="14" style="252" customWidth="1"/>
    <col min="11486" max="11486" width="10.25" style="252" customWidth="1"/>
    <col min="11487" max="11489" width="11.625" style="252" customWidth="1"/>
    <col min="11490" max="11490" width="10.5" style="252" customWidth="1"/>
    <col min="11491" max="11493" width="11.625" style="252" customWidth="1"/>
    <col min="11494" max="11510" width="9" style="252" customWidth="1"/>
    <col min="11511" max="11511" width="9.5" style="252" customWidth="1"/>
    <col min="11512" max="11538" width="9" style="252" customWidth="1"/>
    <col min="11539" max="11715" width="9" style="252"/>
    <col min="11716" max="11718" width="1.625" style="252" customWidth="1"/>
    <col min="11719" max="11719" width="5.875" style="252" customWidth="1"/>
    <col min="11720" max="11720" width="8.625" style="252" customWidth="1"/>
    <col min="11721" max="11722" width="6.625" style="252" customWidth="1"/>
    <col min="11723" max="11723" width="7.875" style="252" customWidth="1"/>
    <col min="11724" max="11724" width="7.5" style="252" customWidth="1"/>
    <col min="11725" max="11729" width="6.625" style="252" customWidth="1"/>
    <col min="11730" max="11730" width="3.5" style="252" customWidth="1"/>
    <col min="11731" max="11734" width="4.625" style="252" customWidth="1"/>
    <col min="11735" max="11736" width="8.625" style="252" customWidth="1"/>
    <col min="11737" max="11737" width="1.625" style="252" customWidth="1"/>
    <col min="11738" max="11740" width="9" style="252" customWidth="1"/>
    <col min="11741" max="11741" width="14" style="252" customWidth="1"/>
    <col min="11742" max="11742" width="10.25" style="252" customWidth="1"/>
    <col min="11743" max="11745" width="11.625" style="252" customWidth="1"/>
    <col min="11746" max="11746" width="10.5" style="252" customWidth="1"/>
    <col min="11747" max="11749" width="11.625" style="252" customWidth="1"/>
    <col min="11750" max="11766" width="9" style="252" customWidth="1"/>
    <col min="11767" max="11767" width="9.5" style="252" customWidth="1"/>
    <col min="11768" max="11794" width="9" style="252" customWidth="1"/>
    <col min="11795" max="11971" width="9" style="252"/>
    <col min="11972" max="11974" width="1.625" style="252" customWidth="1"/>
    <col min="11975" max="11975" width="5.875" style="252" customWidth="1"/>
    <col min="11976" max="11976" width="8.625" style="252" customWidth="1"/>
    <col min="11977" max="11978" width="6.625" style="252" customWidth="1"/>
    <col min="11979" max="11979" width="7.875" style="252" customWidth="1"/>
    <col min="11980" max="11980" width="7.5" style="252" customWidth="1"/>
    <col min="11981" max="11985" width="6.625" style="252" customWidth="1"/>
    <col min="11986" max="11986" width="3.5" style="252" customWidth="1"/>
    <col min="11987" max="11990" width="4.625" style="252" customWidth="1"/>
    <col min="11991" max="11992" width="8.625" style="252" customWidth="1"/>
    <col min="11993" max="11993" width="1.625" style="252" customWidth="1"/>
    <col min="11994" max="11996" width="9" style="252" customWidth="1"/>
    <col min="11997" max="11997" width="14" style="252" customWidth="1"/>
    <col min="11998" max="11998" width="10.25" style="252" customWidth="1"/>
    <col min="11999" max="12001" width="11.625" style="252" customWidth="1"/>
    <col min="12002" max="12002" width="10.5" style="252" customWidth="1"/>
    <col min="12003" max="12005" width="11.625" style="252" customWidth="1"/>
    <col min="12006" max="12022" width="9" style="252" customWidth="1"/>
    <col min="12023" max="12023" width="9.5" style="252" customWidth="1"/>
    <col min="12024" max="12050" width="9" style="252" customWidth="1"/>
    <col min="12051" max="12227" width="9" style="252"/>
    <col min="12228" max="12230" width="1.625" style="252" customWidth="1"/>
    <col min="12231" max="12231" width="5.875" style="252" customWidth="1"/>
    <col min="12232" max="12232" width="8.625" style="252" customWidth="1"/>
    <col min="12233" max="12234" width="6.625" style="252" customWidth="1"/>
    <col min="12235" max="12235" width="7.875" style="252" customWidth="1"/>
    <col min="12236" max="12236" width="7.5" style="252" customWidth="1"/>
    <col min="12237" max="12241" width="6.625" style="252" customWidth="1"/>
    <col min="12242" max="12242" width="3.5" style="252" customWidth="1"/>
    <col min="12243" max="12246" width="4.625" style="252" customWidth="1"/>
    <col min="12247" max="12248" width="8.625" style="252" customWidth="1"/>
    <col min="12249" max="12249" width="1.625" style="252" customWidth="1"/>
    <col min="12250" max="12252" width="9" style="252" customWidth="1"/>
    <col min="12253" max="12253" width="14" style="252" customWidth="1"/>
    <col min="12254" max="12254" width="10.25" style="252" customWidth="1"/>
    <col min="12255" max="12257" width="11.625" style="252" customWidth="1"/>
    <col min="12258" max="12258" width="10.5" style="252" customWidth="1"/>
    <col min="12259" max="12261" width="11.625" style="252" customWidth="1"/>
    <col min="12262" max="12278" width="9" style="252" customWidth="1"/>
    <col min="12279" max="12279" width="9.5" style="252" customWidth="1"/>
    <col min="12280" max="12306" width="9" style="252" customWidth="1"/>
    <col min="12307" max="12483" width="9" style="252"/>
    <col min="12484" max="12486" width="1.625" style="252" customWidth="1"/>
    <col min="12487" max="12487" width="5.875" style="252" customWidth="1"/>
    <col min="12488" max="12488" width="8.625" style="252" customWidth="1"/>
    <col min="12489" max="12490" width="6.625" style="252" customWidth="1"/>
    <col min="12491" max="12491" width="7.875" style="252" customWidth="1"/>
    <col min="12492" max="12492" width="7.5" style="252" customWidth="1"/>
    <col min="12493" max="12497" width="6.625" style="252" customWidth="1"/>
    <col min="12498" max="12498" width="3.5" style="252" customWidth="1"/>
    <col min="12499" max="12502" width="4.625" style="252" customWidth="1"/>
    <col min="12503" max="12504" width="8.625" style="252" customWidth="1"/>
    <col min="12505" max="12505" width="1.625" style="252" customWidth="1"/>
    <col min="12506" max="12508" width="9" style="252" customWidth="1"/>
    <col min="12509" max="12509" width="14" style="252" customWidth="1"/>
    <col min="12510" max="12510" width="10.25" style="252" customWidth="1"/>
    <col min="12511" max="12513" width="11.625" style="252" customWidth="1"/>
    <col min="12514" max="12514" width="10.5" style="252" customWidth="1"/>
    <col min="12515" max="12517" width="11.625" style="252" customWidth="1"/>
    <col min="12518" max="12534" width="9" style="252" customWidth="1"/>
    <col min="12535" max="12535" width="9.5" style="252" customWidth="1"/>
    <col min="12536" max="12562" width="9" style="252" customWidth="1"/>
    <col min="12563" max="12739" width="9" style="252"/>
    <col min="12740" max="12742" width="1.625" style="252" customWidth="1"/>
    <col min="12743" max="12743" width="5.875" style="252" customWidth="1"/>
    <col min="12744" max="12744" width="8.625" style="252" customWidth="1"/>
    <col min="12745" max="12746" width="6.625" style="252" customWidth="1"/>
    <col min="12747" max="12747" width="7.875" style="252" customWidth="1"/>
    <col min="12748" max="12748" width="7.5" style="252" customWidth="1"/>
    <col min="12749" max="12753" width="6.625" style="252" customWidth="1"/>
    <col min="12754" max="12754" width="3.5" style="252" customWidth="1"/>
    <col min="12755" max="12758" width="4.625" style="252" customWidth="1"/>
    <col min="12759" max="12760" width="8.625" style="252" customWidth="1"/>
    <col min="12761" max="12761" width="1.625" style="252" customWidth="1"/>
    <col min="12762" max="12764" width="9" style="252" customWidth="1"/>
    <col min="12765" max="12765" width="14" style="252" customWidth="1"/>
    <col min="12766" max="12766" width="10.25" style="252" customWidth="1"/>
    <col min="12767" max="12769" width="11.625" style="252" customWidth="1"/>
    <col min="12770" max="12770" width="10.5" style="252" customWidth="1"/>
    <col min="12771" max="12773" width="11.625" style="252" customWidth="1"/>
    <col min="12774" max="12790" width="9" style="252" customWidth="1"/>
    <col min="12791" max="12791" width="9.5" style="252" customWidth="1"/>
    <col min="12792" max="12818" width="9" style="252" customWidth="1"/>
    <col min="12819" max="12995" width="9" style="252"/>
    <col min="12996" max="12998" width="1.625" style="252" customWidth="1"/>
    <col min="12999" max="12999" width="5.875" style="252" customWidth="1"/>
    <col min="13000" max="13000" width="8.625" style="252" customWidth="1"/>
    <col min="13001" max="13002" width="6.625" style="252" customWidth="1"/>
    <col min="13003" max="13003" width="7.875" style="252" customWidth="1"/>
    <col min="13004" max="13004" width="7.5" style="252" customWidth="1"/>
    <col min="13005" max="13009" width="6.625" style="252" customWidth="1"/>
    <col min="13010" max="13010" width="3.5" style="252" customWidth="1"/>
    <col min="13011" max="13014" width="4.625" style="252" customWidth="1"/>
    <col min="13015" max="13016" width="8.625" style="252" customWidth="1"/>
    <col min="13017" max="13017" width="1.625" style="252" customWidth="1"/>
    <col min="13018" max="13020" width="9" style="252" customWidth="1"/>
    <col min="13021" max="13021" width="14" style="252" customWidth="1"/>
    <col min="13022" max="13022" width="10.25" style="252" customWidth="1"/>
    <col min="13023" max="13025" width="11.625" style="252" customWidth="1"/>
    <col min="13026" max="13026" width="10.5" style="252" customWidth="1"/>
    <col min="13027" max="13029" width="11.625" style="252" customWidth="1"/>
    <col min="13030" max="13046" width="9" style="252" customWidth="1"/>
    <col min="13047" max="13047" width="9.5" style="252" customWidth="1"/>
    <col min="13048" max="13074" width="9" style="252" customWidth="1"/>
    <col min="13075" max="13251" width="9" style="252"/>
    <col min="13252" max="13254" width="1.625" style="252" customWidth="1"/>
    <col min="13255" max="13255" width="5.875" style="252" customWidth="1"/>
    <col min="13256" max="13256" width="8.625" style="252" customWidth="1"/>
    <col min="13257" max="13258" width="6.625" style="252" customWidth="1"/>
    <col min="13259" max="13259" width="7.875" style="252" customWidth="1"/>
    <col min="13260" max="13260" width="7.5" style="252" customWidth="1"/>
    <col min="13261" max="13265" width="6.625" style="252" customWidth="1"/>
    <col min="13266" max="13266" width="3.5" style="252" customWidth="1"/>
    <col min="13267" max="13270" width="4.625" style="252" customWidth="1"/>
    <col min="13271" max="13272" width="8.625" style="252" customWidth="1"/>
    <col min="13273" max="13273" width="1.625" style="252" customWidth="1"/>
    <col min="13274" max="13276" width="9" style="252" customWidth="1"/>
    <col min="13277" max="13277" width="14" style="252" customWidth="1"/>
    <col min="13278" max="13278" width="10.25" style="252" customWidth="1"/>
    <col min="13279" max="13281" width="11.625" style="252" customWidth="1"/>
    <col min="13282" max="13282" width="10.5" style="252" customWidth="1"/>
    <col min="13283" max="13285" width="11.625" style="252" customWidth="1"/>
    <col min="13286" max="13302" width="9" style="252" customWidth="1"/>
    <col min="13303" max="13303" width="9.5" style="252" customWidth="1"/>
    <col min="13304" max="13330" width="9" style="252" customWidth="1"/>
    <col min="13331" max="13507" width="9" style="252"/>
    <col min="13508" max="13510" width="1.625" style="252" customWidth="1"/>
    <col min="13511" max="13511" width="5.875" style="252" customWidth="1"/>
    <col min="13512" max="13512" width="8.625" style="252" customWidth="1"/>
    <col min="13513" max="13514" width="6.625" style="252" customWidth="1"/>
    <col min="13515" max="13515" width="7.875" style="252" customWidth="1"/>
    <col min="13516" max="13516" width="7.5" style="252" customWidth="1"/>
    <col min="13517" max="13521" width="6.625" style="252" customWidth="1"/>
    <col min="13522" max="13522" width="3.5" style="252" customWidth="1"/>
    <col min="13523" max="13526" width="4.625" style="252" customWidth="1"/>
    <col min="13527" max="13528" width="8.625" style="252" customWidth="1"/>
    <col min="13529" max="13529" width="1.625" style="252" customWidth="1"/>
    <col min="13530" max="13532" width="9" style="252" customWidth="1"/>
    <col min="13533" max="13533" width="14" style="252" customWidth="1"/>
    <col min="13534" max="13534" width="10.25" style="252" customWidth="1"/>
    <col min="13535" max="13537" width="11.625" style="252" customWidth="1"/>
    <col min="13538" max="13538" width="10.5" style="252" customWidth="1"/>
    <col min="13539" max="13541" width="11.625" style="252" customWidth="1"/>
    <col min="13542" max="13558" width="9" style="252" customWidth="1"/>
    <col min="13559" max="13559" width="9.5" style="252" customWidth="1"/>
    <col min="13560" max="13586" width="9" style="252" customWidth="1"/>
    <col min="13587" max="13763" width="9" style="252"/>
    <col min="13764" max="13766" width="1.625" style="252" customWidth="1"/>
    <col min="13767" max="13767" width="5.875" style="252" customWidth="1"/>
    <col min="13768" max="13768" width="8.625" style="252" customWidth="1"/>
    <col min="13769" max="13770" width="6.625" style="252" customWidth="1"/>
    <col min="13771" max="13771" width="7.875" style="252" customWidth="1"/>
    <col min="13772" max="13772" width="7.5" style="252" customWidth="1"/>
    <col min="13773" max="13777" width="6.625" style="252" customWidth="1"/>
    <col min="13778" max="13778" width="3.5" style="252" customWidth="1"/>
    <col min="13779" max="13782" width="4.625" style="252" customWidth="1"/>
    <col min="13783" max="13784" width="8.625" style="252" customWidth="1"/>
    <col min="13785" max="13785" width="1.625" style="252" customWidth="1"/>
    <col min="13786" max="13788" width="9" style="252" customWidth="1"/>
    <col min="13789" max="13789" width="14" style="252" customWidth="1"/>
    <col min="13790" max="13790" width="10.25" style="252" customWidth="1"/>
    <col min="13791" max="13793" width="11.625" style="252" customWidth="1"/>
    <col min="13794" max="13794" width="10.5" style="252" customWidth="1"/>
    <col min="13795" max="13797" width="11.625" style="252" customWidth="1"/>
    <col min="13798" max="13814" width="9" style="252" customWidth="1"/>
    <col min="13815" max="13815" width="9.5" style="252" customWidth="1"/>
    <col min="13816" max="13842" width="9" style="252" customWidth="1"/>
    <col min="13843" max="14019" width="9" style="252"/>
    <col min="14020" max="14022" width="1.625" style="252" customWidth="1"/>
    <col min="14023" max="14023" width="5.875" style="252" customWidth="1"/>
    <col min="14024" max="14024" width="8.625" style="252" customWidth="1"/>
    <col min="14025" max="14026" width="6.625" style="252" customWidth="1"/>
    <col min="14027" max="14027" width="7.875" style="252" customWidth="1"/>
    <col min="14028" max="14028" width="7.5" style="252" customWidth="1"/>
    <col min="14029" max="14033" width="6.625" style="252" customWidth="1"/>
    <col min="14034" max="14034" width="3.5" style="252" customWidth="1"/>
    <col min="14035" max="14038" width="4.625" style="252" customWidth="1"/>
    <col min="14039" max="14040" width="8.625" style="252" customWidth="1"/>
    <col min="14041" max="14041" width="1.625" style="252" customWidth="1"/>
    <col min="14042" max="14044" width="9" style="252" customWidth="1"/>
    <col min="14045" max="14045" width="14" style="252" customWidth="1"/>
    <col min="14046" max="14046" width="10.25" style="252" customWidth="1"/>
    <col min="14047" max="14049" width="11.625" style="252" customWidth="1"/>
    <col min="14050" max="14050" width="10.5" style="252" customWidth="1"/>
    <col min="14051" max="14053" width="11.625" style="252" customWidth="1"/>
    <col min="14054" max="14070" width="9" style="252" customWidth="1"/>
    <col min="14071" max="14071" width="9.5" style="252" customWidth="1"/>
    <col min="14072" max="14098" width="9" style="252" customWidth="1"/>
    <col min="14099" max="14275" width="9" style="252"/>
    <col min="14276" max="14278" width="1.625" style="252" customWidth="1"/>
    <col min="14279" max="14279" width="5.875" style="252" customWidth="1"/>
    <col min="14280" max="14280" width="8.625" style="252" customWidth="1"/>
    <col min="14281" max="14282" width="6.625" style="252" customWidth="1"/>
    <col min="14283" max="14283" width="7.875" style="252" customWidth="1"/>
    <col min="14284" max="14284" width="7.5" style="252" customWidth="1"/>
    <col min="14285" max="14289" width="6.625" style="252" customWidth="1"/>
    <col min="14290" max="14290" width="3.5" style="252" customWidth="1"/>
    <col min="14291" max="14294" width="4.625" style="252" customWidth="1"/>
    <col min="14295" max="14296" width="8.625" style="252" customWidth="1"/>
    <col min="14297" max="14297" width="1.625" style="252" customWidth="1"/>
    <col min="14298" max="14300" width="9" style="252" customWidth="1"/>
    <col min="14301" max="14301" width="14" style="252" customWidth="1"/>
    <col min="14302" max="14302" width="10.25" style="252" customWidth="1"/>
    <col min="14303" max="14305" width="11.625" style="252" customWidth="1"/>
    <col min="14306" max="14306" width="10.5" style="252" customWidth="1"/>
    <col min="14307" max="14309" width="11.625" style="252" customWidth="1"/>
    <col min="14310" max="14326" width="9" style="252" customWidth="1"/>
    <col min="14327" max="14327" width="9.5" style="252" customWidth="1"/>
    <col min="14328" max="14354" width="9" style="252" customWidth="1"/>
    <col min="14355" max="14531" width="9" style="252"/>
    <col min="14532" max="14534" width="1.625" style="252" customWidth="1"/>
    <col min="14535" max="14535" width="5.875" style="252" customWidth="1"/>
    <col min="14536" max="14536" width="8.625" style="252" customWidth="1"/>
    <col min="14537" max="14538" width="6.625" style="252" customWidth="1"/>
    <col min="14539" max="14539" width="7.875" style="252" customWidth="1"/>
    <col min="14540" max="14540" width="7.5" style="252" customWidth="1"/>
    <col min="14541" max="14545" width="6.625" style="252" customWidth="1"/>
    <col min="14546" max="14546" width="3.5" style="252" customWidth="1"/>
    <col min="14547" max="14550" width="4.625" style="252" customWidth="1"/>
    <col min="14551" max="14552" width="8.625" style="252" customWidth="1"/>
    <col min="14553" max="14553" width="1.625" style="252" customWidth="1"/>
    <col min="14554" max="14556" width="9" style="252" customWidth="1"/>
    <col min="14557" max="14557" width="14" style="252" customWidth="1"/>
    <col min="14558" max="14558" width="10.25" style="252" customWidth="1"/>
    <col min="14559" max="14561" width="11.625" style="252" customWidth="1"/>
    <col min="14562" max="14562" width="10.5" style="252" customWidth="1"/>
    <col min="14563" max="14565" width="11.625" style="252" customWidth="1"/>
    <col min="14566" max="14582" width="9" style="252" customWidth="1"/>
    <col min="14583" max="14583" width="9.5" style="252" customWidth="1"/>
    <col min="14584" max="14610" width="9" style="252" customWidth="1"/>
    <col min="14611" max="14787" width="9" style="252"/>
    <col min="14788" max="14790" width="1.625" style="252" customWidth="1"/>
    <col min="14791" max="14791" width="5.875" style="252" customWidth="1"/>
    <col min="14792" max="14792" width="8.625" style="252" customWidth="1"/>
    <col min="14793" max="14794" width="6.625" style="252" customWidth="1"/>
    <col min="14795" max="14795" width="7.875" style="252" customWidth="1"/>
    <col min="14796" max="14796" width="7.5" style="252" customWidth="1"/>
    <col min="14797" max="14801" width="6.625" style="252" customWidth="1"/>
    <col min="14802" max="14802" width="3.5" style="252" customWidth="1"/>
    <col min="14803" max="14806" width="4.625" style="252" customWidth="1"/>
    <col min="14807" max="14808" width="8.625" style="252" customWidth="1"/>
    <col min="14809" max="14809" width="1.625" style="252" customWidth="1"/>
    <col min="14810" max="14812" width="9" style="252" customWidth="1"/>
    <col min="14813" max="14813" width="14" style="252" customWidth="1"/>
    <col min="14814" max="14814" width="10.25" style="252" customWidth="1"/>
    <col min="14815" max="14817" width="11.625" style="252" customWidth="1"/>
    <col min="14818" max="14818" width="10.5" style="252" customWidth="1"/>
    <col min="14819" max="14821" width="11.625" style="252" customWidth="1"/>
    <col min="14822" max="14838" width="9" style="252" customWidth="1"/>
    <col min="14839" max="14839" width="9.5" style="252" customWidth="1"/>
    <col min="14840" max="14866" width="9" style="252" customWidth="1"/>
    <col min="14867" max="15043" width="9" style="252"/>
    <col min="15044" max="15046" width="1.625" style="252" customWidth="1"/>
    <col min="15047" max="15047" width="5.875" style="252" customWidth="1"/>
    <col min="15048" max="15048" width="8.625" style="252" customWidth="1"/>
    <col min="15049" max="15050" width="6.625" style="252" customWidth="1"/>
    <col min="15051" max="15051" width="7.875" style="252" customWidth="1"/>
    <col min="15052" max="15052" width="7.5" style="252" customWidth="1"/>
    <col min="15053" max="15057" width="6.625" style="252" customWidth="1"/>
    <col min="15058" max="15058" width="3.5" style="252" customWidth="1"/>
    <col min="15059" max="15062" width="4.625" style="252" customWidth="1"/>
    <col min="15063" max="15064" width="8.625" style="252" customWidth="1"/>
    <col min="15065" max="15065" width="1.625" style="252" customWidth="1"/>
    <col min="15066" max="15068" width="9" style="252" customWidth="1"/>
    <col min="15069" max="15069" width="14" style="252" customWidth="1"/>
    <col min="15070" max="15070" width="10.25" style="252" customWidth="1"/>
    <col min="15071" max="15073" width="11.625" style="252" customWidth="1"/>
    <col min="15074" max="15074" width="10.5" style="252" customWidth="1"/>
    <col min="15075" max="15077" width="11.625" style="252" customWidth="1"/>
    <col min="15078" max="15094" width="9" style="252" customWidth="1"/>
    <col min="15095" max="15095" width="9.5" style="252" customWidth="1"/>
    <col min="15096" max="15122" width="9" style="252" customWidth="1"/>
    <col min="15123" max="15299" width="9" style="252"/>
    <col min="15300" max="15302" width="1.625" style="252" customWidth="1"/>
    <col min="15303" max="15303" width="5.875" style="252" customWidth="1"/>
    <col min="15304" max="15304" width="8.625" style="252" customWidth="1"/>
    <col min="15305" max="15306" width="6.625" style="252" customWidth="1"/>
    <col min="15307" max="15307" width="7.875" style="252" customWidth="1"/>
    <col min="15308" max="15308" width="7.5" style="252" customWidth="1"/>
    <col min="15309" max="15313" width="6.625" style="252" customWidth="1"/>
    <col min="15314" max="15314" width="3.5" style="252" customWidth="1"/>
    <col min="15315" max="15318" width="4.625" style="252" customWidth="1"/>
    <col min="15319" max="15320" width="8.625" style="252" customWidth="1"/>
    <col min="15321" max="15321" width="1.625" style="252" customWidth="1"/>
    <col min="15322" max="15324" width="9" style="252" customWidth="1"/>
    <col min="15325" max="15325" width="14" style="252" customWidth="1"/>
    <col min="15326" max="15326" width="10.25" style="252" customWidth="1"/>
    <col min="15327" max="15329" width="11.625" style="252" customWidth="1"/>
    <col min="15330" max="15330" width="10.5" style="252" customWidth="1"/>
    <col min="15331" max="15333" width="11.625" style="252" customWidth="1"/>
    <col min="15334" max="15350" width="9" style="252" customWidth="1"/>
    <col min="15351" max="15351" width="9.5" style="252" customWidth="1"/>
    <col min="15352" max="15378" width="9" style="252" customWidth="1"/>
    <col min="15379" max="15555" width="9" style="252"/>
    <col min="15556" max="15558" width="1.625" style="252" customWidth="1"/>
    <col min="15559" max="15559" width="5.875" style="252" customWidth="1"/>
    <col min="15560" max="15560" width="8.625" style="252" customWidth="1"/>
    <col min="15561" max="15562" width="6.625" style="252" customWidth="1"/>
    <col min="15563" max="15563" width="7.875" style="252" customWidth="1"/>
    <col min="15564" max="15564" width="7.5" style="252" customWidth="1"/>
    <col min="15565" max="15569" width="6.625" style="252" customWidth="1"/>
    <col min="15570" max="15570" width="3.5" style="252" customWidth="1"/>
    <col min="15571" max="15574" width="4.625" style="252" customWidth="1"/>
    <col min="15575" max="15576" width="8.625" style="252" customWidth="1"/>
    <col min="15577" max="15577" width="1.625" style="252" customWidth="1"/>
    <col min="15578" max="15580" width="9" style="252" customWidth="1"/>
    <col min="15581" max="15581" width="14" style="252" customWidth="1"/>
    <col min="15582" max="15582" width="10.25" style="252" customWidth="1"/>
    <col min="15583" max="15585" width="11.625" style="252" customWidth="1"/>
    <col min="15586" max="15586" width="10.5" style="252" customWidth="1"/>
    <col min="15587" max="15589" width="11.625" style="252" customWidth="1"/>
    <col min="15590" max="15606" width="9" style="252" customWidth="1"/>
    <col min="15607" max="15607" width="9.5" style="252" customWidth="1"/>
    <col min="15608" max="15634" width="9" style="252" customWidth="1"/>
    <col min="15635" max="15811" width="9" style="252"/>
    <col min="15812" max="15814" width="1.625" style="252" customWidth="1"/>
    <col min="15815" max="15815" width="5.875" style="252" customWidth="1"/>
    <col min="15816" max="15816" width="8.625" style="252" customWidth="1"/>
    <col min="15817" max="15818" width="6.625" style="252" customWidth="1"/>
    <col min="15819" max="15819" width="7.875" style="252" customWidth="1"/>
    <col min="15820" max="15820" width="7.5" style="252" customWidth="1"/>
    <col min="15821" max="15825" width="6.625" style="252" customWidth="1"/>
    <col min="15826" max="15826" width="3.5" style="252" customWidth="1"/>
    <col min="15827" max="15830" width="4.625" style="252" customWidth="1"/>
    <col min="15831" max="15832" width="8.625" style="252" customWidth="1"/>
    <col min="15833" max="15833" width="1.625" style="252" customWidth="1"/>
    <col min="15834" max="15836" width="9" style="252" customWidth="1"/>
    <col min="15837" max="15837" width="14" style="252" customWidth="1"/>
    <col min="15838" max="15838" width="10.25" style="252" customWidth="1"/>
    <col min="15839" max="15841" width="11.625" style="252" customWidth="1"/>
    <col min="15842" max="15842" width="10.5" style="252" customWidth="1"/>
    <col min="15843" max="15845" width="11.625" style="252" customWidth="1"/>
    <col min="15846" max="15862" width="9" style="252" customWidth="1"/>
    <col min="15863" max="15863" width="9.5" style="252" customWidth="1"/>
    <col min="15864" max="15890" width="9" style="252" customWidth="1"/>
    <col min="15891" max="16067" width="9" style="252"/>
    <col min="16068" max="16070" width="1.625" style="252" customWidth="1"/>
    <col min="16071" max="16071" width="5.875" style="252" customWidth="1"/>
    <col min="16072" max="16072" width="8.625" style="252" customWidth="1"/>
    <col min="16073" max="16074" width="6.625" style="252" customWidth="1"/>
    <col min="16075" max="16075" width="7.875" style="252" customWidth="1"/>
    <col min="16076" max="16076" width="7.5" style="252" customWidth="1"/>
    <col min="16077" max="16081" width="6.625" style="252" customWidth="1"/>
    <col min="16082" max="16082" width="3.5" style="252" customWidth="1"/>
    <col min="16083" max="16086" width="4.625" style="252" customWidth="1"/>
    <col min="16087" max="16088" width="8.625" style="252" customWidth="1"/>
    <col min="16089" max="16089" width="1.625" style="252" customWidth="1"/>
    <col min="16090" max="16092" width="9" style="252" customWidth="1"/>
    <col min="16093" max="16093" width="14" style="252" customWidth="1"/>
    <col min="16094" max="16094" width="10.25" style="252" customWidth="1"/>
    <col min="16095" max="16097" width="11.625" style="252" customWidth="1"/>
    <col min="16098" max="16098" width="10.5" style="252" customWidth="1"/>
    <col min="16099" max="16101" width="11.625" style="252" customWidth="1"/>
    <col min="16102" max="16118" width="9" style="252" customWidth="1"/>
    <col min="16119" max="16119" width="9.5" style="252" customWidth="1"/>
    <col min="16120" max="16146" width="9" style="252" customWidth="1"/>
    <col min="16147" max="16384" width="9" style="252"/>
  </cols>
  <sheetData>
    <row r="1" spans="1:70">
      <c r="Y1" s="264" t="s">
        <v>422</v>
      </c>
      <c r="Z1" s="268"/>
      <c r="AA1" s="268"/>
      <c r="AB1" s="268"/>
      <c r="AC1" s="268"/>
      <c r="AD1" s="268"/>
      <c r="AE1" s="268"/>
      <c r="AF1" s="268"/>
      <c r="AG1" s="268"/>
      <c r="AH1" s="252" t="s">
        <v>286</v>
      </c>
      <c r="AR1" s="266"/>
      <c r="AS1" s="266" t="s">
        <v>458</v>
      </c>
      <c r="AT1" s="266"/>
      <c r="AU1" s="470" t="s">
        <v>639</v>
      </c>
      <c r="AV1" s="266"/>
      <c r="AW1" s="476" t="s">
        <v>644</v>
      </c>
      <c r="AZ1" s="311" t="s">
        <v>459</v>
      </c>
      <c r="BE1" s="266"/>
      <c r="BF1" s="266" t="s">
        <v>465</v>
      </c>
      <c r="BG1" s="266"/>
      <c r="BH1" s="266"/>
      <c r="BI1" s="266"/>
      <c r="BJ1" s="266"/>
      <c r="BK1" s="266"/>
      <c r="BL1" s="266"/>
      <c r="BM1" s="266"/>
      <c r="BN1" s="266"/>
      <c r="BO1" s="266"/>
      <c r="BP1" s="266"/>
      <c r="BQ1" s="266"/>
      <c r="BR1" s="266"/>
    </row>
    <row r="2" spans="1:70">
      <c r="B2" s="724"/>
      <c r="C2" s="724"/>
      <c r="D2" s="254" t="s">
        <v>265</v>
      </c>
      <c r="E2" s="254"/>
      <c r="Y2" s="316">
        <v>2016</v>
      </c>
      <c r="Z2" s="316">
        <v>2017</v>
      </c>
      <c r="AA2" s="316">
        <v>2018</v>
      </c>
      <c r="AB2" s="316">
        <v>2019</v>
      </c>
      <c r="AC2" s="316">
        <v>2020</v>
      </c>
      <c r="AD2" s="316">
        <v>2021</v>
      </c>
      <c r="AE2" s="316">
        <v>2022</v>
      </c>
      <c r="AF2" s="316">
        <v>2023</v>
      </c>
      <c r="AG2" s="268"/>
      <c r="AH2" s="284">
        <v>0.1</v>
      </c>
      <c r="AI2" s="284">
        <v>0.2</v>
      </c>
      <c r="AJ2" s="284">
        <v>0.3</v>
      </c>
      <c r="AK2" s="284">
        <v>0.4</v>
      </c>
      <c r="AL2" s="284">
        <v>0.5</v>
      </c>
      <c r="AM2" s="284">
        <v>0.6</v>
      </c>
      <c r="AN2" s="284">
        <v>0.7</v>
      </c>
      <c r="AO2" s="284">
        <v>0.8</v>
      </c>
      <c r="AP2" s="284">
        <v>0.9</v>
      </c>
      <c r="AQ2" s="284">
        <v>1</v>
      </c>
      <c r="AR2" s="266"/>
      <c r="AS2" s="293" t="s">
        <v>328</v>
      </c>
      <c r="AT2" s="293"/>
      <c r="AU2" s="266">
        <f ca="1">SUMIF(H46:K48,AD11,G46:G48)+SUMIF(H46:K48,AE11,G46:G48)</f>
        <v>0</v>
      </c>
      <c r="AV2" s="266"/>
      <c r="AW2" s="296">
        <f>IF(AND(G40="",G41="",G42=""),"",SUM(G40:G42))</f>
        <v>1</v>
      </c>
      <c r="AX2" s="256">
        <f>IF(AND(G46="",G47="",G48=""),"",SUM(G46:G48))</f>
        <v>1</v>
      </c>
      <c r="AY2" s="266"/>
      <c r="AZ2" s="258" t="s">
        <v>346</v>
      </c>
      <c r="BA2" s="337"/>
      <c r="BB2" s="337"/>
      <c r="BC2" s="337"/>
      <c r="BD2" s="337"/>
      <c r="BE2" s="266"/>
      <c r="BF2" s="256" t="str">
        <f>IF(AND(H56&lt;&gt;"",I54&lt;&gt;"",I52&lt;&gt;""),AZ2,"ラベリング非表示")</f>
        <v>ラベリング非表示</v>
      </c>
      <c r="BG2" s="256" t="str">
        <f>IF(AND(H56&lt;&gt;"",I54&lt;&gt;""),AZ3,IF(OR(AND(H56&lt;&gt;"",I54="",I52&lt;&gt;""),AND(H56="",I54&lt;&gt;"",I52&lt;&gt;"")),AZ2,"ラベリング非表示"))</f>
        <v>ラベリング非表示</v>
      </c>
      <c r="BH2" s="256" t="str">
        <f>IF(I56&lt;&gt;"",H56,IF(AND(H56="",I54&lt;&gt;""),AZ3,IF(AND(H56="",I54="",I52&lt;&gt;""),AZ2,"ラベリング非表示")))</f>
        <v>ラベリング非表示</v>
      </c>
      <c r="BI2" s="266" t="str">
        <f>IF(I56="","CASBEE星非表示",HLOOKUP(I56,AZ10:BD11,2,FALSE))</f>
        <v>CASBEE星非表示</v>
      </c>
      <c r="BJ2" s="266"/>
      <c r="BK2" s="266"/>
      <c r="BL2" s="266"/>
      <c r="BM2" s="266"/>
      <c r="BN2" s="266"/>
      <c r="BO2" s="266"/>
      <c r="BP2" s="266"/>
      <c r="BQ2" s="266"/>
      <c r="BR2" s="266"/>
    </row>
    <row r="3" spans="1:70">
      <c r="B3" s="725"/>
      <c r="C3" s="725"/>
      <c r="D3" s="254" t="s">
        <v>268</v>
      </c>
      <c r="E3" s="254"/>
      <c r="O3" s="257"/>
      <c r="Y3" s="253" t="s">
        <v>291</v>
      </c>
      <c r="AA3" s="264"/>
      <c r="AB3" s="264" t="s">
        <v>452</v>
      </c>
      <c r="AC3" s="264"/>
      <c r="AD3" s="264"/>
      <c r="AE3" s="264"/>
      <c r="AF3" s="264" t="s">
        <v>340</v>
      </c>
      <c r="AG3" s="268"/>
      <c r="AH3" s="252" t="s">
        <v>296</v>
      </c>
      <c r="AY3" s="281"/>
      <c r="AZ3" s="259" t="str">
        <f>IF(I54=AZ2,"BELS認定","")</f>
        <v/>
      </c>
      <c r="BA3" s="259"/>
      <c r="BB3" s="259"/>
      <c r="BC3" s="259"/>
      <c r="BD3" s="337"/>
      <c r="BE3" s="281"/>
      <c r="BF3" s="281"/>
      <c r="BG3" s="281"/>
      <c r="BH3" s="281"/>
      <c r="BI3" s="281"/>
      <c r="BJ3" s="281"/>
      <c r="BK3" s="281"/>
      <c r="BL3" s="281"/>
      <c r="BM3" s="281"/>
      <c r="BN3" s="281"/>
      <c r="BO3" s="281"/>
      <c r="BP3" s="281"/>
      <c r="BQ3" s="281"/>
      <c r="BR3" s="266"/>
    </row>
    <row r="4" spans="1:70">
      <c r="B4" s="726"/>
      <c r="C4" s="726"/>
      <c r="D4" s="254" t="s">
        <v>269</v>
      </c>
      <c r="E4" s="254"/>
      <c r="O4" s="260"/>
      <c r="Y4" s="279" t="s">
        <v>294</v>
      </c>
      <c r="Z4" s="279" t="s">
        <v>295</v>
      </c>
      <c r="AA4" s="268"/>
      <c r="AB4" s="335" t="s">
        <v>453</v>
      </c>
      <c r="AC4" s="335" t="s">
        <v>454</v>
      </c>
      <c r="AD4" s="335" t="s">
        <v>455</v>
      </c>
      <c r="AE4" s="467" t="s">
        <v>630</v>
      </c>
      <c r="AF4" s="336" t="str">
        <f>IF(AG4=TRUE,"電力",IF(AG5=TRUE,"都市ガス","削減効果非表示"))</f>
        <v>都市ガス</v>
      </c>
      <c r="AG4" s="494" t="b">
        <v>0</v>
      </c>
      <c r="AH4" s="256"/>
      <c r="AI4" s="295" t="s">
        <v>297</v>
      </c>
      <c r="AJ4" s="295" t="s">
        <v>298</v>
      </c>
      <c r="AK4" s="295" t="s">
        <v>299</v>
      </c>
      <c r="AL4" s="295" t="s">
        <v>300</v>
      </c>
      <c r="AM4" s="750" t="s">
        <v>301</v>
      </c>
      <c r="AN4" s="751"/>
      <c r="AY4" s="281"/>
      <c r="AZ4" s="288" t="s">
        <v>460</v>
      </c>
      <c r="BA4" s="288" t="s">
        <v>461</v>
      </c>
      <c r="BB4" s="288" t="s">
        <v>462</v>
      </c>
      <c r="BC4" s="288" t="s">
        <v>463</v>
      </c>
      <c r="BD4" s="288" t="s">
        <v>464</v>
      </c>
      <c r="BE4" s="281"/>
      <c r="BF4" s="258" t="s">
        <v>466</v>
      </c>
      <c r="BG4" s="259" t="s">
        <v>369</v>
      </c>
      <c r="BH4" s="259" t="s">
        <v>370</v>
      </c>
      <c r="BI4" s="288" t="s">
        <v>467</v>
      </c>
      <c r="BJ4" s="281"/>
      <c r="BK4" s="281"/>
      <c r="BL4" s="281"/>
      <c r="BM4" s="281"/>
      <c r="BN4" s="281"/>
      <c r="BO4" s="281"/>
      <c r="BP4" s="266"/>
      <c r="BQ4" s="266"/>
      <c r="BR4" s="266"/>
    </row>
    <row r="5" spans="1:70">
      <c r="B5" s="759"/>
      <c r="C5" s="759"/>
      <c r="D5" s="262" t="s">
        <v>223</v>
      </c>
      <c r="E5" s="262"/>
      <c r="Q5" s="263"/>
      <c r="Z5" s="268"/>
      <c r="AA5" s="268"/>
      <c r="AB5" s="286" t="str">
        <f>IF(削減量集計!F29="","改修項目非表示",削減量集計!F29)</f>
        <v>改修項目非表示</v>
      </c>
      <c r="AC5" s="286" t="str">
        <f>IF(削減量集計!F30="","改修項目非表示",削減量集計!F30)</f>
        <v>改修項目非表示</v>
      </c>
      <c r="AD5" s="286" t="str">
        <f>IF(削減量集計!F31="","改修項目非表示",削減量集計!F31)</f>
        <v>改修項目非表示</v>
      </c>
      <c r="AE5" s="286" t="str">
        <f>IF(削減量集計!F32="","改修項目非表示",削減量集計!F32)</f>
        <v>改修項目非表示</v>
      </c>
      <c r="AF5" s="336" t="str">
        <f>IF(AND(AG4=TRUE,AG5=TRUE),"都市ガス","削減効果非表示")</f>
        <v>削減効果非表示</v>
      </c>
      <c r="AG5" s="494" t="b">
        <v>1</v>
      </c>
      <c r="AH5" s="256" t="s">
        <v>271</v>
      </c>
      <c r="AI5" s="256" t="str">
        <f>IF(AND(L40="",L41="",L42=""),"★非表示",IF(COUNTIF(L40:N42,"A")&gt;=1,"★★★",IF(COUNTIF(L40:N42,"B")&gt;=1,"★★","★")))</f>
        <v>★★★</v>
      </c>
      <c r="AJ5" s="296">
        <f ca="1">IF(AI5="★★★",SUMIF(L40:N42,"A",G40:G42),IF(AI5="★★",SUMIF(L40:N42,"B",G40:G42),SUMIF(L40:N42,"C",G40:G42)))</f>
        <v>0.7</v>
      </c>
      <c r="AK5" s="293" t="s">
        <v>302</v>
      </c>
      <c r="AL5" s="256" t="str">
        <f ca="1">IF(OR(AJ5=0,AJ5=""),"割合0",HLOOKUP(AJ5,$AO$5:$AX$6,2,FALSE))</f>
        <v>割合70</v>
      </c>
      <c r="AM5" s="256" t="str">
        <f>IF(AI5="★非表示","",IF('2_メイン'!AI5="★★","高効率形空調機",IF('2_メイン'!AI5="★★★","超高効率形空調機",IF('2_メイン'!AI5="★","従来形空調機"))))</f>
        <v>超高効率形空調機</v>
      </c>
      <c r="AN5" s="256"/>
      <c r="AO5" s="297">
        <v>0.1</v>
      </c>
      <c r="AP5" s="256">
        <v>0.2</v>
      </c>
      <c r="AQ5" s="256">
        <v>0.3</v>
      </c>
      <c r="AR5" s="256">
        <v>0.4</v>
      </c>
      <c r="AS5" s="256">
        <v>0.5</v>
      </c>
      <c r="AT5" s="256">
        <v>0.6</v>
      </c>
      <c r="AU5" s="256">
        <v>0.7</v>
      </c>
      <c r="AV5" s="256">
        <v>0.8</v>
      </c>
      <c r="AW5" s="256">
        <v>0.9</v>
      </c>
      <c r="AX5" s="256">
        <v>1</v>
      </c>
      <c r="AY5" s="266"/>
      <c r="AZ5" s="338" t="s">
        <v>349</v>
      </c>
      <c r="BA5" s="338" t="s">
        <v>371</v>
      </c>
      <c r="BB5" s="338" t="s">
        <v>372</v>
      </c>
      <c r="BC5" s="338" t="s">
        <v>373</v>
      </c>
      <c r="BD5" s="337"/>
      <c r="BE5" s="266"/>
      <c r="BF5" s="259" t="str">
        <f>IF(BF2="","ラベリング非表示",BF2)</f>
        <v>ラベリング非表示</v>
      </c>
      <c r="BG5" s="259" t="str">
        <f>IF(BG2="","ラベリング非表示",BG2)</f>
        <v>ラベリング非表示</v>
      </c>
      <c r="BH5" s="256" t="str">
        <f>BH2</f>
        <v>ラベリング非表示</v>
      </c>
      <c r="BI5" s="259" t="str">
        <f>BI2</f>
        <v>CASBEE星非表示</v>
      </c>
      <c r="BJ5" s="266"/>
      <c r="BK5" s="266"/>
      <c r="BL5" s="266"/>
      <c r="BM5" s="266"/>
      <c r="BN5" s="266"/>
      <c r="BO5" s="266"/>
      <c r="BP5" s="266"/>
      <c r="BQ5" s="266"/>
      <c r="BR5" s="266"/>
    </row>
    <row r="6" spans="1:70" ht="9.9499999999999993" customHeight="1">
      <c r="B6" s="266"/>
      <c r="C6" s="266"/>
      <c r="D6" s="266"/>
      <c r="E6" s="266"/>
      <c r="F6" s="266"/>
      <c r="G6" s="266"/>
      <c r="H6" s="266"/>
      <c r="I6" s="266"/>
      <c r="J6" s="266"/>
      <c r="K6" s="266"/>
      <c r="L6" s="266"/>
      <c r="M6" s="266"/>
      <c r="N6" s="266"/>
      <c r="O6" s="266"/>
      <c r="P6" s="267"/>
      <c r="Q6" s="266"/>
      <c r="R6" s="266"/>
      <c r="S6" s="266"/>
      <c r="T6" s="267"/>
      <c r="U6" s="267"/>
      <c r="V6" s="266"/>
      <c r="Y6" s="264"/>
      <c r="Z6" s="268"/>
      <c r="AA6" s="268"/>
      <c r="AB6" s="314" t="s">
        <v>456</v>
      </c>
      <c r="AC6" s="268"/>
      <c r="AD6" s="268"/>
      <c r="AE6" s="268"/>
      <c r="AF6" s="268"/>
      <c r="AG6" s="268"/>
      <c r="AH6" s="256" t="s">
        <v>272</v>
      </c>
      <c r="AI6" s="256" t="str">
        <f>IF(AND(H46="",H47="",H48=""),"★非表示",IF(COUNTIF(H46:K48,AD11)&gt;=1,"★★★",IF(OR(COUNTIF(H46:K48,AB11)&gt;=1,COUNTIF(H46:K48,AC11)&gt;=1,COUNTIF(H46:K48,AE11)&gt;=1),"★★","★")))</f>
        <v>★★</v>
      </c>
      <c r="AJ6" s="256">
        <f ca="1">IF(AI6="★★★",SUMIF(H46:K48,AD11,G46:G48),IF(AI6="★★",SUMIF(H46:K48,AB11,G46:G48)+SUMIF(H46:K48,AC11,G46:G48)+SUMIF(H46:K48,AE11,G46:G48),SUM(G46:G48)))</f>
        <v>1</v>
      </c>
      <c r="AK6" s="256" t="str">
        <f>IF(COUNTIF(L46:N48,"○")&gt;=1,"制御あり","制御なし")</f>
        <v>制御あり</v>
      </c>
      <c r="AL6" s="256" t="str">
        <f ca="1">IF(OR(AJ6=0,AJ6=""),"割合0",HLOOKUP(AJ6,$AO$5:$AX$6,2,FALSE))</f>
        <v>割合100</v>
      </c>
      <c r="AM6" s="256" t="str">
        <f ca="1">IF(AI6="★非表示","",IF(AI6=★,"従来型照明",IF(AU2&gt;=0.5,"LED照明","高効率照明 ")))</f>
        <v xml:space="preserve">高効率照明 </v>
      </c>
      <c r="AN6" s="256" t="str">
        <f>IF(AK6="制御あり","(調光あり)","")</f>
        <v>(調光あり)</v>
      </c>
      <c r="AO6" s="297" t="s">
        <v>304</v>
      </c>
      <c r="AP6" s="256" t="s">
        <v>305</v>
      </c>
      <c r="AQ6" s="256" t="s">
        <v>306</v>
      </c>
      <c r="AR6" s="256" t="s">
        <v>307</v>
      </c>
      <c r="AS6" s="256" t="s">
        <v>308</v>
      </c>
      <c r="AT6" s="256" t="s">
        <v>309</v>
      </c>
      <c r="AU6" s="256" t="s">
        <v>310</v>
      </c>
      <c r="AV6" s="256" t="s">
        <v>311</v>
      </c>
      <c r="AW6" s="256" t="s">
        <v>312</v>
      </c>
      <c r="AX6" s="256" t="s">
        <v>313</v>
      </c>
      <c r="AY6" s="266"/>
      <c r="AZ6" s="266"/>
      <c r="BA6" s="266"/>
      <c r="BB6" s="266"/>
      <c r="BC6" s="266"/>
      <c r="BD6" s="266"/>
      <c r="BE6" s="266"/>
      <c r="BF6" s="266"/>
      <c r="BG6" s="266"/>
      <c r="BH6" s="266"/>
      <c r="BI6" s="266"/>
      <c r="BJ6" s="266"/>
      <c r="BK6" s="266"/>
      <c r="BL6" s="266"/>
      <c r="BM6" s="266"/>
      <c r="BN6" s="266"/>
      <c r="BO6" s="266"/>
      <c r="BP6" s="266"/>
      <c r="BQ6" s="266"/>
      <c r="BR6" s="266"/>
    </row>
    <row r="7" spans="1:70" ht="21" hidden="1" customHeight="1">
      <c r="B7" s="268"/>
      <c r="C7" s="269"/>
      <c r="D7" s="269"/>
      <c r="E7" s="270"/>
      <c r="F7" s="270"/>
      <c r="G7" s="270"/>
      <c r="H7" s="270"/>
      <c r="I7" s="270"/>
      <c r="J7" s="268"/>
      <c r="K7" s="268"/>
      <c r="L7" s="268"/>
      <c r="M7" s="268"/>
      <c r="N7" s="268"/>
      <c r="O7" s="268"/>
      <c r="P7" s="268"/>
      <c r="Q7" s="268"/>
      <c r="R7" s="268"/>
      <c r="S7" s="268"/>
      <c r="T7" s="268"/>
      <c r="U7" s="268"/>
      <c r="V7" s="268"/>
      <c r="Y7" s="268"/>
      <c r="Z7" s="268"/>
      <c r="AA7" s="268"/>
      <c r="AB7" s="268"/>
      <c r="AC7" s="268"/>
      <c r="AD7" s="268"/>
      <c r="AE7" s="268"/>
      <c r="AF7" s="268"/>
      <c r="AG7" s="268"/>
      <c r="AO7" s="299" t="s">
        <v>316</v>
      </c>
      <c r="AP7" s="299" t="s">
        <v>317</v>
      </c>
      <c r="AQ7" s="299" t="s">
        <v>318</v>
      </c>
      <c r="AR7" s="299" t="s">
        <v>319</v>
      </c>
      <c r="AS7" s="299" t="s">
        <v>320</v>
      </c>
      <c r="AT7" s="299" t="s">
        <v>321</v>
      </c>
      <c r="AU7" s="299" t="s">
        <v>322</v>
      </c>
      <c r="AV7" s="299" t="s">
        <v>323</v>
      </c>
      <c r="AW7" s="299" t="s">
        <v>324</v>
      </c>
      <c r="AX7" s="299" t="s">
        <v>325</v>
      </c>
    </row>
    <row r="8" spans="1:70" ht="7.5" customHeight="1">
      <c r="B8" s="268"/>
      <c r="C8" s="269"/>
      <c r="D8" s="269"/>
      <c r="E8" s="270"/>
      <c r="F8" s="270"/>
      <c r="G8" s="270"/>
      <c r="H8" s="270"/>
      <c r="I8" s="270"/>
      <c r="J8" s="268"/>
      <c r="K8" s="268"/>
      <c r="L8" s="268"/>
      <c r="M8" s="268"/>
      <c r="N8" s="268"/>
      <c r="O8" s="268"/>
      <c r="P8" s="268"/>
      <c r="Q8" s="268"/>
      <c r="R8" s="268"/>
      <c r="S8" s="268"/>
      <c r="T8" s="268"/>
      <c r="U8" s="268"/>
      <c r="V8" s="268"/>
      <c r="Y8" s="264"/>
      <c r="Z8" s="268"/>
      <c r="AA8" s="268"/>
      <c r="AB8" s="268"/>
      <c r="AC8" s="268"/>
      <c r="AD8" s="268"/>
      <c r="AE8" s="268"/>
      <c r="AF8" s="268"/>
      <c r="AG8" s="268"/>
      <c r="AI8" s="265"/>
      <c r="AJ8" s="265"/>
      <c r="AK8" s="265"/>
      <c r="AL8" s="265"/>
      <c r="AM8" s="265"/>
      <c r="AN8" s="265"/>
      <c r="AO8" s="265"/>
      <c r="AP8" s="265"/>
      <c r="AQ8" s="266"/>
      <c r="AZ8" s="256" t="s">
        <v>350</v>
      </c>
      <c r="BA8" s="256" t="s">
        <v>351</v>
      </c>
      <c r="BB8" s="256" t="s">
        <v>352</v>
      </c>
      <c r="BC8" s="256" t="s">
        <v>353</v>
      </c>
      <c r="BD8" s="266"/>
    </row>
    <row r="9" spans="1:70" ht="14.25" customHeight="1">
      <c r="B9" s="268"/>
      <c r="C9" s="270"/>
      <c r="D9" s="270"/>
      <c r="E9" s="270"/>
      <c r="F9" s="270"/>
      <c r="G9" s="270"/>
      <c r="H9" s="270"/>
      <c r="I9" s="270"/>
      <c r="J9" s="268"/>
      <c r="K9" s="268"/>
      <c r="L9" s="268"/>
      <c r="M9" s="268"/>
      <c r="N9" s="268"/>
      <c r="O9" s="268"/>
      <c r="P9" s="268"/>
      <c r="Q9" s="268"/>
      <c r="R9" s="268"/>
      <c r="S9" s="268"/>
      <c r="T9" s="268"/>
      <c r="U9" s="268"/>
      <c r="V9" s="268"/>
      <c r="W9" s="266"/>
      <c r="Y9" s="271"/>
      <c r="Z9" s="264"/>
      <c r="AA9" s="268"/>
      <c r="AB9" s="286" t="s">
        <v>468</v>
      </c>
      <c r="AC9" s="256" t="str">
        <f>IF(K21="",G21&amp;H21&amp;I21,G21&amp;H21&amp;I21&amp;" "&amp;J21&amp;K21&amp;L21)</f>
        <v>地上階</v>
      </c>
      <c r="AD9" s="286"/>
      <c r="AE9" s="268"/>
      <c r="AF9" s="268"/>
      <c r="AG9" s="268"/>
      <c r="AH9" s="339" t="str">
        <f ca="1">AM5&amp;"　  範囲 "&amp;HLOOKUP(AJ5,AO5:AX7,3,FALSE)</f>
        <v>超高効率形空調機　  範囲 70%</v>
      </c>
      <c r="AI9" s="255" t="s">
        <v>457</v>
      </c>
      <c r="AJ9" s="469" t="s">
        <v>640</v>
      </c>
      <c r="AK9" s="471">
        <f ca="1">IF(AJ5=0,"",AJ5)</f>
        <v>0.7</v>
      </c>
      <c r="AL9" s="472">
        <f ca="1">IF(AJ6=0,"",AJ6)</f>
        <v>1</v>
      </c>
      <c r="AM9" s="265"/>
      <c r="AN9" s="265"/>
      <c r="AO9" s="265"/>
      <c r="AP9" s="272"/>
      <c r="AQ9" s="272"/>
      <c r="AR9" s="272"/>
      <c r="AS9" s="272"/>
      <c r="AT9" s="272"/>
      <c r="AU9" s="272"/>
      <c r="AV9" s="272"/>
      <c r="AW9" s="272"/>
      <c r="AX9" s="272"/>
      <c r="AY9" s="272"/>
      <c r="AZ9" s="256" t="s">
        <v>359</v>
      </c>
      <c r="BA9" s="256" t="s">
        <v>360</v>
      </c>
      <c r="BB9" s="256" t="s">
        <v>361</v>
      </c>
      <c r="BC9" s="256" t="s">
        <v>362</v>
      </c>
      <c r="BD9" s="266"/>
      <c r="BK9" s="273"/>
      <c r="BL9" s="273"/>
      <c r="BM9" s="273"/>
      <c r="BN9" s="273"/>
      <c r="BO9" s="273"/>
      <c r="BP9" s="273"/>
      <c r="BQ9" s="273"/>
      <c r="BR9" s="273"/>
    </row>
    <row r="10" spans="1:70" ht="33.75" customHeight="1">
      <c r="A10" s="459"/>
      <c r="B10" s="460"/>
      <c r="C10" s="486"/>
      <c r="D10" s="486"/>
      <c r="E10" s="461"/>
      <c r="F10" s="461"/>
      <c r="G10" s="461"/>
      <c r="H10" s="461"/>
      <c r="I10" s="461"/>
      <c r="J10" s="460"/>
      <c r="K10" s="460"/>
      <c r="L10" s="460"/>
      <c r="M10" s="460"/>
      <c r="N10" s="460"/>
      <c r="O10" s="460"/>
      <c r="P10" s="487"/>
      <c r="Q10" s="460"/>
      <c r="R10" s="496"/>
      <c r="S10" s="496"/>
      <c r="T10" s="497" t="s">
        <v>628</v>
      </c>
      <c r="U10" s="498"/>
      <c r="V10" s="499"/>
      <c r="W10" s="499"/>
      <c r="X10" s="500"/>
      <c r="Y10" s="501"/>
      <c r="Z10" s="501"/>
      <c r="AA10" s="501"/>
      <c r="AB10" s="502" t="s">
        <v>605</v>
      </c>
      <c r="AC10" s="502" t="s">
        <v>606</v>
      </c>
      <c r="AD10" s="502" t="s">
        <v>607</v>
      </c>
      <c r="AE10" s="501"/>
      <c r="AF10" s="501"/>
      <c r="AG10" s="501"/>
      <c r="AH10" s="503" t="str">
        <f ca="1">AM6&amp;AN6&amp;"   範囲  "&amp;HLOOKUP(AJ6,AO5:AX7,3,FALSE)</f>
        <v>高効率照明 (調光あり)   範囲  100%</v>
      </c>
      <c r="AI10" s="504" t="s">
        <v>457</v>
      </c>
      <c r="AJ10" s="500"/>
      <c r="AK10" s="500"/>
      <c r="AL10" s="505"/>
      <c r="AM10" s="505"/>
      <c r="AN10" s="505"/>
      <c r="AO10" s="500"/>
      <c r="AP10" s="500"/>
      <c r="AQ10" s="500"/>
      <c r="AR10" s="274"/>
      <c r="AS10" s="274"/>
      <c r="AT10" s="275"/>
      <c r="AU10" s="274"/>
      <c r="AV10" s="274"/>
      <c r="AW10" s="274"/>
      <c r="AX10" s="274"/>
      <c r="AY10" s="274"/>
      <c r="AZ10" s="506" t="s">
        <v>354</v>
      </c>
      <c r="BA10" s="506" t="s">
        <v>355</v>
      </c>
      <c r="BB10" s="506" t="s">
        <v>356</v>
      </c>
      <c r="BC10" s="506" t="s">
        <v>357</v>
      </c>
      <c r="BD10" s="506" t="s">
        <v>358</v>
      </c>
      <c r="BE10" s="274"/>
      <c r="BF10" s="274"/>
      <c r="BG10" s="274"/>
      <c r="BH10" s="274"/>
      <c r="BI10" s="274"/>
      <c r="BJ10" s="274"/>
      <c r="BK10" s="274"/>
      <c r="BL10" s="274"/>
      <c r="BM10" s="274"/>
      <c r="BN10" s="274"/>
      <c r="BO10" s="274"/>
      <c r="BP10" s="274"/>
      <c r="BQ10" s="274"/>
      <c r="BR10" s="274"/>
    </row>
    <row r="11" spans="1:70" ht="10.5" customHeight="1">
      <c r="A11" s="456"/>
      <c r="B11" s="266"/>
      <c r="C11" s="266"/>
      <c r="D11" s="266"/>
      <c r="E11" s="276"/>
      <c r="F11" s="276"/>
      <c r="G11" s="277"/>
      <c r="H11" s="277"/>
      <c r="I11" s="278"/>
      <c r="J11" s="278"/>
      <c r="K11" s="278"/>
      <c r="L11" s="278"/>
      <c r="M11" s="278"/>
      <c r="N11" s="278"/>
      <c r="O11" s="278"/>
      <c r="P11" s="278"/>
      <c r="Q11" s="278"/>
      <c r="R11" s="507"/>
      <c r="S11" s="507"/>
      <c r="T11" s="500"/>
      <c r="U11" s="508"/>
      <c r="V11" s="499"/>
      <c r="W11" s="499"/>
      <c r="X11" s="500"/>
      <c r="Y11" s="509"/>
      <c r="Z11" s="510"/>
      <c r="AA11" s="509"/>
      <c r="AB11" s="511" t="s">
        <v>608</v>
      </c>
      <c r="AC11" s="511" t="s">
        <v>656</v>
      </c>
      <c r="AD11" s="511" t="s">
        <v>609</v>
      </c>
      <c r="AE11" s="511" t="s">
        <v>655</v>
      </c>
      <c r="AF11" s="511" t="s">
        <v>611</v>
      </c>
      <c r="AG11" s="511" t="s">
        <v>610</v>
      </c>
      <c r="AH11" s="511" t="s">
        <v>49</v>
      </c>
      <c r="AI11" s="511" t="s">
        <v>50</v>
      </c>
      <c r="AJ11" s="505"/>
      <c r="AK11" s="505"/>
      <c r="AL11" s="505"/>
      <c r="AM11" s="505"/>
      <c r="AN11" s="505"/>
      <c r="AO11" s="505"/>
      <c r="AP11" s="512"/>
      <c r="AQ11" s="512"/>
      <c r="AR11" s="512"/>
      <c r="AS11" s="512"/>
      <c r="AT11" s="512"/>
      <c r="AU11" s="512"/>
      <c r="AV11" s="512"/>
      <c r="AW11" s="512"/>
      <c r="AX11" s="512"/>
      <c r="AY11" s="512"/>
      <c r="AZ11" s="513" t="s">
        <v>363</v>
      </c>
      <c r="BA11" s="513" t="s">
        <v>364</v>
      </c>
      <c r="BB11" s="513" t="s">
        <v>365</v>
      </c>
      <c r="BC11" s="513" t="s">
        <v>366</v>
      </c>
      <c r="BD11" s="513" t="s">
        <v>367</v>
      </c>
      <c r="BE11" s="512"/>
      <c r="BF11" s="512"/>
      <c r="BG11" s="512"/>
      <c r="BH11" s="512"/>
      <c r="BI11" s="512"/>
      <c r="BJ11" s="512"/>
      <c r="BK11" s="512"/>
      <c r="BL11" s="512"/>
      <c r="BM11" s="512"/>
      <c r="BN11" s="512"/>
      <c r="BO11" s="512"/>
      <c r="BP11" s="512"/>
      <c r="BQ11" s="512"/>
      <c r="BR11" s="281"/>
    </row>
    <row r="12" spans="1:70" ht="15" customHeight="1">
      <c r="A12" s="456"/>
      <c r="B12" s="266"/>
      <c r="C12" s="266"/>
      <c r="D12" s="266"/>
      <c r="E12" s="283" t="s">
        <v>421</v>
      </c>
      <c r="F12" s="266"/>
      <c r="G12" s="488"/>
      <c r="H12" s="311" t="s">
        <v>616</v>
      </c>
      <c r="I12" s="278"/>
      <c r="J12" s="278"/>
      <c r="K12" s="278"/>
      <c r="L12" s="278"/>
      <c r="M12" s="278"/>
      <c r="N12" s="278"/>
      <c r="O12" s="278"/>
      <c r="P12" s="278"/>
      <c r="Q12" s="278"/>
      <c r="R12" s="507"/>
      <c r="S12" s="507"/>
      <c r="T12" s="507"/>
      <c r="U12" s="508"/>
      <c r="V12" s="499"/>
      <c r="W12" s="499"/>
      <c r="X12" s="500"/>
      <c r="Y12" s="509"/>
      <c r="Z12" s="510"/>
      <c r="AA12" s="509"/>
      <c r="AB12" s="501"/>
      <c r="AC12" s="501"/>
      <c r="AD12" s="501"/>
      <c r="AE12" s="501"/>
      <c r="AF12" s="501"/>
      <c r="AG12" s="501"/>
      <c r="AH12" s="500"/>
      <c r="AI12" s="505"/>
      <c r="AJ12" s="505"/>
      <c r="AK12" s="505"/>
      <c r="AL12" s="505"/>
      <c r="AM12" s="505"/>
      <c r="AN12" s="505"/>
      <c r="AO12" s="505"/>
      <c r="AP12" s="512"/>
      <c r="AQ12" s="512"/>
      <c r="AR12" s="512"/>
      <c r="AS12" s="512"/>
      <c r="AT12" s="512"/>
      <c r="AU12" s="512"/>
      <c r="AV12" s="512"/>
      <c r="AW12" s="512"/>
      <c r="AX12" s="512"/>
      <c r="AY12" s="512"/>
      <c r="AZ12" s="499"/>
      <c r="BA12" s="499"/>
      <c r="BB12" s="499"/>
      <c r="BC12" s="499"/>
      <c r="BD12" s="499"/>
      <c r="BE12" s="512"/>
      <c r="BF12" s="512"/>
      <c r="BG12" s="512"/>
      <c r="BH12" s="512"/>
      <c r="BI12" s="512"/>
      <c r="BJ12" s="512"/>
      <c r="BK12" s="512"/>
      <c r="BL12" s="512"/>
      <c r="BM12" s="512"/>
      <c r="BN12" s="512"/>
      <c r="BO12" s="512"/>
      <c r="BP12" s="512"/>
      <c r="BQ12" s="512"/>
      <c r="BR12" s="281"/>
    </row>
    <row r="13" spans="1:70" ht="15" customHeight="1">
      <c r="A13" s="456"/>
      <c r="B13" s="266"/>
      <c r="C13" s="266"/>
      <c r="D13" s="270"/>
      <c r="E13" s="266"/>
      <c r="F13" s="266"/>
      <c r="G13" s="266"/>
      <c r="H13" s="266"/>
      <c r="I13" s="266"/>
      <c r="J13" s="266"/>
      <c r="K13" s="266"/>
      <c r="L13" s="266"/>
      <c r="M13" s="266"/>
      <c r="N13" s="266"/>
      <c r="O13" s="266"/>
      <c r="P13" s="266"/>
      <c r="Q13" s="266"/>
      <c r="R13" s="514"/>
      <c r="S13" s="515"/>
      <c r="T13" s="515"/>
      <c r="U13" s="516"/>
      <c r="V13" s="499"/>
      <c r="W13" s="499"/>
      <c r="X13" s="500"/>
      <c r="Y13" s="500"/>
      <c r="Z13" s="500"/>
      <c r="AA13" s="500"/>
      <c r="AB13" s="500"/>
      <c r="AC13" s="500"/>
      <c r="AD13" s="500"/>
      <c r="AE13" s="500"/>
      <c r="AF13" s="500"/>
      <c r="AG13" s="500"/>
      <c r="AH13" s="500"/>
      <c r="AI13" s="500"/>
      <c r="AJ13" s="500"/>
      <c r="AK13" s="517"/>
      <c r="AL13" s="517"/>
      <c r="AM13" s="517"/>
      <c r="AN13" s="517"/>
      <c r="AO13" s="517"/>
      <c r="AP13" s="517"/>
      <c r="AQ13" s="517"/>
      <c r="AR13" s="517"/>
      <c r="AS13" s="500"/>
      <c r="AT13" s="500"/>
      <c r="AU13" s="500"/>
      <c r="AV13" s="500"/>
      <c r="AW13" s="500"/>
      <c r="AX13" s="500"/>
      <c r="AY13" s="500"/>
      <c r="AZ13" s="518"/>
      <c r="BA13" s="500"/>
      <c r="BB13" s="500"/>
      <c r="BC13" s="519"/>
      <c r="BD13" s="743"/>
      <c r="BE13" s="743"/>
      <c r="BF13" s="500"/>
      <c r="BG13" s="499"/>
      <c r="BH13" s="499"/>
      <c r="BI13" s="500"/>
      <c r="BJ13" s="500"/>
      <c r="BK13" s="500"/>
      <c r="BL13" s="500"/>
      <c r="BM13" s="500"/>
      <c r="BN13" s="500"/>
      <c r="BO13" s="500"/>
      <c r="BP13" s="500"/>
      <c r="BQ13" s="500"/>
    </row>
    <row r="14" spans="1:70" ht="3" customHeight="1">
      <c r="A14" s="456"/>
      <c r="B14" s="266"/>
      <c r="C14" s="266"/>
      <c r="D14" s="270"/>
      <c r="E14" s="266"/>
      <c r="F14" s="266"/>
      <c r="G14" s="266"/>
      <c r="H14" s="266"/>
      <c r="I14" s="266"/>
      <c r="J14" s="266"/>
      <c r="K14" s="266"/>
      <c r="L14" s="266"/>
      <c r="M14" s="266"/>
      <c r="N14" s="266"/>
      <c r="O14" s="266"/>
      <c r="P14" s="266"/>
      <c r="Q14" s="266"/>
      <c r="R14" s="514"/>
      <c r="S14" s="515"/>
      <c r="T14" s="515"/>
      <c r="U14" s="520"/>
      <c r="V14" s="499"/>
      <c r="W14" s="499"/>
      <c r="X14" s="500"/>
      <c r="Y14" s="500"/>
      <c r="Z14" s="500"/>
      <c r="AA14" s="500"/>
      <c r="AB14" s="500"/>
      <c r="AC14" s="500"/>
      <c r="AD14" s="500"/>
      <c r="AE14" s="500"/>
      <c r="AF14" s="500"/>
      <c r="AG14" s="500"/>
      <c r="AH14" s="500"/>
      <c r="AI14" s="500"/>
      <c r="AJ14" s="500"/>
      <c r="AK14" s="500"/>
      <c r="AL14" s="500"/>
      <c r="AM14" s="500"/>
      <c r="AN14" s="500"/>
      <c r="AO14" s="500"/>
      <c r="AP14" s="500"/>
      <c r="AQ14" s="500"/>
      <c r="AR14" s="500"/>
      <c r="AS14" s="500"/>
      <c r="AT14" s="500"/>
      <c r="AU14" s="500"/>
      <c r="AV14" s="500"/>
      <c r="AW14" s="500"/>
      <c r="AX14" s="500"/>
      <c r="AY14" s="500"/>
      <c r="AZ14" s="500"/>
      <c r="BA14" s="500"/>
      <c r="BB14" s="500"/>
      <c r="BC14" s="519"/>
      <c r="BD14" s="521"/>
      <c r="BE14" s="521"/>
      <c r="BF14" s="500"/>
      <c r="BG14" s="499"/>
      <c r="BH14" s="499"/>
      <c r="BI14" s="500"/>
      <c r="BJ14" s="500"/>
      <c r="BK14" s="500"/>
      <c r="BL14" s="500"/>
      <c r="BM14" s="500"/>
      <c r="BN14" s="500"/>
      <c r="BO14" s="500"/>
      <c r="BP14" s="500"/>
      <c r="BQ14" s="500"/>
    </row>
    <row r="15" spans="1:70" ht="15" customHeight="1">
      <c r="A15" s="456"/>
      <c r="B15" s="266"/>
      <c r="C15" s="282" t="s">
        <v>273</v>
      </c>
      <c r="D15" s="270"/>
      <c r="E15" s="266"/>
      <c r="F15" s="266"/>
      <c r="G15" s="266"/>
      <c r="H15" s="266"/>
      <c r="I15" s="266"/>
      <c r="J15" s="266"/>
      <c r="K15" s="266"/>
      <c r="L15" s="266"/>
      <c r="M15" s="266"/>
      <c r="N15" s="266"/>
      <c r="O15" s="266"/>
      <c r="P15" s="266"/>
      <c r="Q15" s="266"/>
      <c r="R15" s="522"/>
      <c r="S15" s="514"/>
      <c r="T15" s="514"/>
      <c r="U15" s="523"/>
      <c r="V15" s="499"/>
      <c r="W15" s="499"/>
      <c r="X15" s="500"/>
      <c r="Y15" s="500"/>
      <c r="Z15" s="500"/>
      <c r="AA15" s="500"/>
      <c r="AB15" s="500"/>
      <c r="AC15" s="500"/>
      <c r="AD15" s="500"/>
      <c r="AE15" s="500"/>
      <c r="AF15" s="500"/>
      <c r="AG15" s="500"/>
      <c r="AH15" s="500"/>
      <c r="AI15" s="500"/>
      <c r="AJ15" s="500"/>
      <c r="AK15" s="500"/>
      <c r="AL15" s="500"/>
      <c r="AM15" s="500"/>
      <c r="AN15" s="500"/>
      <c r="AO15" s="500"/>
      <c r="AP15" s="500"/>
      <c r="AQ15" s="500"/>
      <c r="AR15" s="500"/>
      <c r="AS15" s="500"/>
      <c r="AT15" s="500"/>
      <c r="AU15" s="500"/>
      <c r="AV15" s="500"/>
      <c r="AW15" s="500"/>
      <c r="AX15" s="500"/>
      <c r="AY15" s="500"/>
      <c r="AZ15" s="749"/>
      <c r="BA15" s="749"/>
      <c r="BB15" s="500"/>
      <c r="BC15" s="499"/>
      <c r="BD15" s="524"/>
      <c r="BE15" s="499"/>
      <c r="BF15" s="500"/>
      <c r="BG15" s="525"/>
      <c r="BH15" s="525"/>
      <c r="BI15" s="500"/>
      <c r="BJ15" s="500"/>
      <c r="BK15" s="500"/>
      <c r="BL15" s="500"/>
      <c r="BM15" s="500"/>
      <c r="BN15" s="500"/>
      <c r="BO15" s="500"/>
      <c r="BP15" s="500"/>
      <c r="BQ15" s="500"/>
    </row>
    <row r="16" spans="1:70" ht="15" customHeight="1">
      <c r="A16" s="456"/>
      <c r="B16" s="266"/>
      <c r="C16" s="282"/>
      <c r="D16" s="282"/>
      <c r="E16" s="276" t="s">
        <v>274</v>
      </c>
      <c r="F16" s="276"/>
      <c r="G16" s="744"/>
      <c r="H16" s="744"/>
      <c r="I16" s="744"/>
      <c r="J16" s="744"/>
      <c r="K16" s="744"/>
      <c r="L16" s="744"/>
      <c r="M16" s="744"/>
      <c r="N16" s="744"/>
      <c r="O16" s="744"/>
      <c r="P16" s="744"/>
      <c r="Q16" s="744"/>
      <c r="R16" s="526"/>
      <c r="S16" s="514"/>
      <c r="T16" s="514"/>
      <c r="U16" s="523"/>
      <c r="V16" s="499"/>
      <c r="W16" s="499"/>
      <c r="X16" s="500"/>
      <c r="Y16" s="500"/>
      <c r="Z16" s="500"/>
      <c r="AA16" s="500"/>
      <c r="AB16" s="500"/>
      <c r="AC16" s="500"/>
      <c r="AD16" s="500"/>
      <c r="AE16" s="500"/>
      <c r="AF16" s="500"/>
      <c r="AG16" s="500"/>
      <c r="AH16" s="500"/>
      <c r="AI16" s="500"/>
      <c r="AJ16" s="500"/>
      <c r="AK16" s="500"/>
      <c r="AL16" s="500"/>
      <c r="AM16" s="500"/>
      <c r="AN16" s="500"/>
      <c r="AO16" s="500"/>
      <c r="AP16" s="500"/>
      <c r="AQ16" s="500"/>
      <c r="AR16" s="500"/>
      <c r="AS16" s="500"/>
      <c r="AT16" s="500"/>
      <c r="AU16" s="500"/>
      <c r="AV16" s="500"/>
      <c r="AW16" s="500"/>
      <c r="AX16" s="500"/>
      <c r="AY16" s="500"/>
      <c r="AZ16" s="500"/>
      <c r="BA16" s="500"/>
      <c r="BB16" s="500"/>
      <c r="BC16" s="499"/>
      <c r="BD16" s="524"/>
      <c r="BE16" s="499"/>
      <c r="BF16" s="500"/>
      <c r="BG16" s="499"/>
      <c r="BH16" s="499"/>
      <c r="BI16" s="500"/>
      <c r="BJ16" s="500"/>
      <c r="BK16" s="500"/>
      <c r="BL16" s="500"/>
      <c r="BM16" s="500"/>
      <c r="BN16" s="500"/>
      <c r="BO16" s="500"/>
      <c r="BP16" s="500"/>
      <c r="BQ16" s="500"/>
    </row>
    <row r="17" spans="1:69" ht="15" customHeight="1">
      <c r="A17" s="456"/>
      <c r="B17" s="266"/>
      <c r="C17" s="266"/>
      <c r="D17" s="266"/>
      <c r="E17" s="276" t="s">
        <v>275</v>
      </c>
      <c r="F17" s="276"/>
      <c r="G17" s="744"/>
      <c r="H17" s="744"/>
      <c r="I17" s="744"/>
      <c r="J17" s="744"/>
      <c r="K17" s="744"/>
      <c r="L17" s="744"/>
      <c r="M17" s="744"/>
      <c r="N17" s="744"/>
      <c r="O17" s="744"/>
      <c r="P17" s="744"/>
      <c r="Q17" s="744"/>
      <c r="R17" s="275"/>
      <c r="S17" s="514"/>
      <c r="T17" s="514"/>
      <c r="U17" s="523"/>
      <c r="V17" s="499"/>
      <c r="W17" s="499"/>
      <c r="X17" s="500"/>
      <c r="Y17" s="527" t="s">
        <v>128</v>
      </c>
      <c r="Z17" s="40" t="s">
        <v>137</v>
      </c>
      <c r="AA17" s="40" t="s">
        <v>102</v>
      </c>
      <c r="AB17" s="40" t="s">
        <v>103</v>
      </c>
      <c r="AC17" s="40" t="s">
        <v>138</v>
      </c>
      <c r="AD17" s="40" t="s">
        <v>139</v>
      </c>
      <c r="AE17" s="40" t="s">
        <v>140</v>
      </c>
      <c r="AF17" s="40" t="s">
        <v>141</v>
      </c>
      <c r="AG17" s="40" t="s">
        <v>104</v>
      </c>
      <c r="AH17" s="40" t="s">
        <v>105</v>
      </c>
      <c r="AI17" s="40" t="s">
        <v>106</v>
      </c>
      <c r="AJ17" s="65" t="s">
        <v>107</v>
      </c>
      <c r="AK17" s="65" t="s">
        <v>108</v>
      </c>
      <c r="AL17" s="65" t="s">
        <v>109</v>
      </c>
      <c r="AM17" s="65" t="s">
        <v>110</v>
      </c>
      <c r="AN17" s="65" t="s">
        <v>111</v>
      </c>
      <c r="AO17" s="65" t="s">
        <v>112</v>
      </c>
      <c r="AP17" s="65" t="s">
        <v>113</v>
      </c>
      <c r="AQ17" s="65" t="s">
        <v>114</v>
      </c>
      <c r="AR17" s="65" t="s">
        <v>115</v>
      </c>
      <c r="AS17" s="65" t="s">
        <v>116</v>
      </c>
      <c r="AT17" s="65" t="s">
        <v>117</v>
      </c>
      <c r="AU17" s="65" t="s">
        <v>118</v>
      </c>
      <c r="AV17" s="65" t="s">
        <v>119</v>
      </c>
      <c r="AW17" s="65" t="s">
        <v>120</v>
      </c>
      <c r="AX17" s="65" t="s">
        <v>121</v>
      </c>
      <c r="AY17" s="65" t="s">
        <v>122</v>
      </c>
      <c r="AZ17" s="65" t="s">
        <v>123</v>
      </c>
      <c r="BA17" s="65" t="s">
        <v>124</v>
      </c>
      <c r="BB17" s="65" t="s">
        <v>125</v>
      </c>
      <c r="BC17" s="499"/>
      <c r="BD17" s="524"/>
      <c r="BE17" s="499"/>
      <c r="BF17" s="500"/>
      <c r="BG17" s="500"/>
      <c r="BH17" s="500"/>
      <c r="BI17" s="500"/>
      <c r="BJ17" s="500"/>
      <c r="BK17" s="500"/>
      <c r="BL17" s="500"/>
      <c r="BM17" s="500"/>
      <c r="BN17" s="500"/>
      <c r="BO17" s="500"/>
      <c r="BP17" s="500"/>
      <c r="BQ17" s="500"/>
    </row>
    <row r="18" spans="1:69" ht="15" customHeight="1">
      <c r="A18" s="456"/>
      <c r="B18" s="266"/>
      <c r="C18" s="266"/>
      <c r="D18" s="266"/>
      <c r="E18" s="276" t="s">
        <v>277</v>
      </c>
      <c r="F18" s="276"/>
      <c r="G18" s="744"/>
      <c r="H18" s="744"/>
      <c r="I18" s="744"/>
      <c r="J18" s="744"/>
      <c r="K18" s="744"/>
      <c r="L18" s="744"/>
      <c r="M18" s="744"/>
      <c r="N18" s="744"/>
      <c r="O18" s="744"/>
      <c r="P18" s="744"/>
      <c r="Q18" s="744"/>
      <c r="R18" s="275"/>
      <c r="S18" s="514"/>
      <c r="T18" s="514"/>
      <c r="U18" s="523"/>
      <c r="V18" s="499"/>
      <c r="W18" s="499"/>
      <c r="X18" s="500"/>
      <c r="Y18" s="527" t="s">
        <v>101</v>
      </c>
      <c r="Z18" s="39" t="s">
        <v>129</v>
      </c>
      <c r="AA18" s="39" t="s">
        <v>130</v>
      </c>
      <c r="AB18" s="39" t="s">
        <v>131</v>
      </c>
      <c r="AC18" s="39" t="s">
        <v>132</v>
      </c>
      <c r="AD18" s="62" t="s">
        <v>133</v>
      </c>
      <c r="AE18" s="39" t="s">
        <v>134</v>
      </c>
      <c r="AF18" s="39" t="s">
        <v>134</v>
      </c>
      <c r="AG18" s="39" t="s">
        <v>135</v>
      </c>
      <c r="AH18" s="39" t="s">
        <v>135</v>
      </c>
      <c r="AI18" s="39" t="s">
        <v>135</v>
      </c>
      <c r="AJ18" s="39" t="s">
        <v>126</v>
      </c>
      <c r="AK18" s="39" t="s">
        <v>126</v>
      </c>
      <c r="AL18" s="39" t="s">
        <v>126</v>
      </c>
      <c r="AM18" s="39" t="s">
        <v>126</v>
      </c>
      <c r="AN18" s="39" t="s">
        <v>126</v>
      </c>
      <c r="AO18" s="39" t="s">
        <v>126</v>
      </c>
      <c r="AP18" s="39" t="s">
        <v>127</v>
      </c>
      <c r="AQ18" s="39" t="s">
        <v>127</v>
      </c>
      <c r="AR18" s="39" t="s">
        <v>136</v>
      </c>
      <c r="AS18" s="39" t="s">
        <v>127</v>
      </c>
      <c r="AT18" s="39" t="s">
        <v>136</v>
      </c>
      <c r="AU18" s="39" t="s">
        <v>127</v>
      </c>
      <c r="AV18" s="39" t="s">
        <v>127</v>
      </c>
      <c r="AW18" s="39" t="s">
        <v>127</v>
      </c>
      <c r="AX18" s="39" t="s">
        <v>127</v>
      </c>
      <c r="AY18" s="39" t="s">
        <v>127</v>
      </c>
      <c r="AZ18" s="39" t="s">
        <v>136</v>
      </c>
      <c r="BA18" s="39" t="s">
        <v>136</v>
      </c>
      <c r="BB18" s="39" t="s">
        <v>136</v>
      </c>
      <c r="BC18" s="499"/>
      <c r="BD18" s="528"/>
      <c r="BE18" s="499"/>
      <c r="BF18" s="500"/>
      <c r="BG18" s="500"/>
      <c r="BH18" s="500"/>
      <c r="BI18" s="500"/>
      <c r="BJ18" s="500"/>
      <c r="BK18" s="500"/>
      <c r="BL18" s="500"/>
      <c r="BM18" s="500"/>
      <c r="BN18" s="500"/>
      <c r="BO18" s="500"/>
      <c r="BP18" s="500"/>
      <c r="BQ18" s="500"/>
    </row>
    <row r="19" spans="1:69" ht="15" customHeight="1">
      <c r="A19" s="456"/>
      <c r="B19" s="266"/>
      <c r="C19" s="266"/>
      <c r="D19" s="266"/>
      <c r="E19" s="283" t="s">
        <v>278</v>
      </c>
      <c r="F19" s="290"/>
      <c r="G19" s="745"/>
      <c r="H19" s="746"/>
      <c r="I19" s="266"/>
      <c r="J19" s="266"/>
      <c r="K19" s="266"/>
      <c r="L19" s="266"/>
      <c r="M19" s="266"/>
      <c r="N19" s="266"/>
      <c r="O19" s="266"/>
      <c r="P19" s="266"/>
      <c r="Q19" s="266"/>
      <c r="R19" s="275"/>
      <c r="S19" s="514"/>
      <c r="T19" s="514"/>
      <c r="U19" s="523"/>
      <c r="V19" s="499"/>
      <c r="W19" s="499"/>
      <c r="X19" s="500"/>
      <c r="Y19" s="529" t="s">
        <v>142</v>
      </c>
      <c r="Z19" s="530">
        <v>0.48899999999999999</v>
      </c>
      <c r="AA19" s="530">
        <v>2.2440000000000002</v>
      </c>
      <c r="AB19" s="530">
        <v>2.2440000000000002</v>
      </c>
      <c r="AC19" s="530">
        <v>2.9651656441717793</v>
      </c>
      <c r="AD19" s="530">
        <v>6.5190184049079756</v>
      </c>
      <c r="AE19" s="530">
        <v>2.7096300000000002</v>
      </c>
      <c r="AF19" s="530">
        <v>2.4894833333333337</v>
      </c>
      <c r="AG19" s="530">
        <v>0.06</v>
      </c>
      <c r="AH19" s="530">
        <v>0.06</v>
      </c>
      <c r="AI19" s="530">
        <v>0.06</v>
      </c>
      <c r="AJ19" s="530">
        <v>2.6809566666666669</v>
      </c>
      <c r="AK19" s="530">
        <v>2.6379466666666667</v>
      </c>
      <c r="AL19" s="530">
        <v>2.6236100000000002</v>
      </c>
      <c r="AM19" s="530">
        <v>2.6092733333333333</v>
      </c>
      <c r="AN19" s="530">
        <v>2.6809566666666669</v>
      </c>
      <c r="AO19" s="530">
        <v>2.7956500000000002</v>
      </c>
      <c r="AP19" s="530">
        <v>3.8307730061349692</v>
      </c>
      <c r="AQ19" s="530">
        <v>4.677963190184049</v>
      </c>
      <c r="AR19" s="530">
        <v>2.3430000000000004</v>
      </c>
      <c r="AS19" s="530">
        <v>2.4863190184049078</v>
      </c>
      <c r="AT19" s="530">
        <v>2.2935000000000003</v>
      </c>
      <c r="AU19" s="530">
        <v>4.5122085889570558</v>
      </c>
      <c r="AV19" s="530">
        <v>4.5490429447852758</v>
      </c>
      <c r="AW19" s="530">
        <v>4.6963803680981595</v>
      </c>
      <c r="AX19" s="530">
        <v>5.4146503067484657</v>
      </c>
      <c r="AY19" s="530">
        <v>3.8491901840490792</v>
      </c>
      <c r="AZ19" s="530">
        <v>2.8566000000000003</v>
      </c>
      <c r="BA19" s="530">
        <v>4.339500000000001</v>
      </c>
      <c r="BB19" s="530">
        <v>6.3359999999999994</v>
      </c>
      <c r="BC19" s="499"/>
      <c r="BD19" s="499"/>
      <c r="BE19" s="499"/>
      <c r="BF19" s="500"/>
      <c r="BG19" s="500"/>
      <c r="BH19" s="500"/>
      <c r="BI19" s="500"/>
      <c r="BJ19" s="500"/>
      <c r="BK19" s="500"/>
      <c r="BL19" s="500"/>
      <c r="BM19" s="500"/>
      <c r="BN19" s="500"/>
      <c r="BO19" s="500"/>
      <c r="BP19" s="500"/>
      <c r="BQ19" s="500"/>
    </row>
    <row r="20" spans="1:69" ht="15" customHeight="1">
      <c r="A20" s="456"/>
      <c r="B20" s="266"/>
      <c r="C20" s="266"/>
      <c r="D20" s="266"/>
      <c r="E20" s="283" t="s">
        <v>660</v>
      </c>
      <c r="F20" s="266"/>
      <c r="G20" s="489"/>
      <c r="H20" s="311" t="s">
        <v>650</v>
      </c>
      <c r="I20" s="266"/>
      <c r="J20" s="266"/>
      <c r="K20" s="266"/>
      <c r="L20" s="266"/>
      <c r="M20" s="266"/>
      <c r="N20" s="266"/>
      <c r="O20" s="307"/>
      <c r="P20" s="307"/>
      <c r="Q20" s="307"/>
      <c r="R20" s="499"/>
      <c r="S20" s="514"/>
      <c r="T20" s="514"/>
      <c r="U20" s="523"/>
      <c r="V20" s="499"/>
      <c r="W20" s="499"/>
      <c r="X20" s="500"/>
      <c r="Y20" s="529" t="s">
        <v>470</v>
      </c>
      <c r="Z20" s="531">
        <v>9.76</v>
      </c>
      <c r="AA20" s="531">
        <v>45</v>
      </c>
      <c r="AB20" s="531">
        <v>45</v>
      </c>
      <c r="AC20" s="531">
        <v>50.8</v>
      </c>
      <c r="AD20" s="531">
        <v>105.15599999999999</v>
      </c>
      <c r="AE20" s="341">
        <v>39.1</v>
      </c>
      <c r="AF20" s="531">
        <v>36.700000000000003</v>
      </c>
      <c r="AG20" s="532">
        <v>1.36</v>
      </c>
      <c r="AH20" s="513">
        <v>1.36</v>
      </c>
      <c r="AI20" s="513">
        <v>1.36</v>
      </c>
      <c r="AJ20" s="513">
        <v>38.200000000000003</v>
      </c>
      <c r="AK20" s="513">
        <v>35.299999999999997</v>
      </c>
      <c r="AL20" s="513">
        <v>34.6</v>
      </c>
      <c r="AM20" s="513">
        <v>33.6</v>
      </c>
      <c r="AN20" s="513">
        <v>37.700000000000003</v>
      </c>
      <c r="AO20" s="513">
        <v>41.9</v>
      </c>
      <c r="AP20" s="513">
        <v>40.9</v>
      </c>
      <c r="AQ20" s="513">
        <v>29.9</v>
      </c>
      <c r="AR20" s="513">
        <v>44.9</v>
      </c>
      <c r="AS20" s="513">
        <v>54.6</v>
      </c>
      <c r="AT20" s="513">
        <v>43.5</v>
      </c>
      <c r="AU20" s="513">
        <v>29</v>
      </c>
      <c r="AV20" s="513">
        <v>25.7</v>
      </c>
      <c r="AW20" s="513">
        <v>26.9</v>
      </c>
      <c r="AX20" s="513">
        <v>29.4</v>
      </c>
      <c r="AY20" s="533">
        <v>37.299999999999997</v>
      </c>
      <c r="AZ20" s="534">
        <v>21.1</v>
      </c>
      <c r="BA20" s="535">
        <v>3.41</v>
      </c>
      <c r="BB20" s="536">
        <v>8.41</v>
      </c>
      <c r="BC20" s="499"/>
      <c r="BD20" s="499"/>
      <c r="BE20" s="499"/>
      <c r="BF20" s="500"/>
      <c r="BG20" s="500"/>
      <c r="BH20" s="500"/>
      <c r="BI20" s="500"/>
      <c r="BJ20" s="500"/>
      <c r="BK20" s="500"/>
      <c r="BL20" s="500"/>
      <c r="BM20" s="500"/>
      <c r="BN20" s="500"/>
      <c r="BO20" s="500"/>
      <c r="BP20" s="500"/>
      <c r="BQ20" s="500"/>
    </row>
    <row r="21" spans="1:69" ht="15" customHeight="1">
      <c r="A21" s="456"/>
      <c r="B21" s="266"/>
      <c r="C21" s="266"/>
      <c r="D21" s="266"/>
      <c r="E21" s="283" t="s">
        <v>280</v>
      </c>
      <c r="F21" s="283"/>
      <c r="G21" s="479" t="s">
        <v>651</v>
      </c>
      <c r="H21" s="482"/>
      <c r="I21" s="291" t="s">
        <v>653</v>
      </c>
      <c r="J21" s="479" t="s">
        <v>652</v>
      </c>
      <c r="K21" s="482"/>
      <c r="L21" s="291" t="s">
        <v>653</v>
      </c>
      <c r="M21" s="278" t="s">
        <v>648</v>
      </c>
      <c r="N21" s="478"/>
      <c r="O21" s="307"/>
      <c r="P21" s="307"/>
      <c r="Q21" s="307"/>
      <c r="R21" s="499"/>
      <c r="S21" s="514"/>
      <c r="T21" s="514"/>
      <c r="U21" s="523"/>
      <c r="V21" s="499"/>
      <c r="W21" s="499"/>
      <c r="X21" s="500"/>
      <c r="Y21" s="500"/>
      <c r="Z21" s="500"/>
      <c r="AA21" s="500"/>
      <c r="AB21" s="500"/>
      <c r="AC21" s="500"/>
      <c r="AD21" s="537"/>
      <c r="AE21" s="500"/>
      <c r="AF21" s="500"/>
      <c r="AG21" s="500"/>
      <c r="AH21" s="500"/>
      <c r="AI21" s="500"/>
      <c r="AJ21" s="500"/>
      <c r="AK21" s="500"/>
      <c r="AL21" s="500"/>
      <c r="AM21" s="500"/>
      <c r="AN21" s="500"/>
      <c r="AO21" s="500"/>
      <c r="AP21" s="500"/>
      <c r="AQ21" s="500"/>
      <c r="AR21" s="500"/>
      <c r="AS21" s="500"/>
      <c r="AT21" s="500"/>
      <c r="AU21" s="500"/>
      <c r="AV21" s="500"/>
      <c r="AW21" s="500"/>
      <c r="AX21" s="500"/>
      <c r="AY21" s="499"/>
      <c r="AZ21" s="499"/>
      <c r="BA21" s="499"/>
      <c r="BB21" s="499"/>
      <c r="BC21" s="538"/>
      <c r="BD21" s="499"/>
      <c r="BE21" s="499"/>
      <c r="BF21" s="500"/>
      <c r="BG21" s="500"/>
      <c r="BH21" s="500"/>
      <c r="BI21" s="500"/>
      <c r="BJ21" s="500"/>
      <c r="BK21" s="500"/>
      <c r="BL21" s="500"/>
      <c r="BM21" s="500"/>
      <c r="BN21" s="500"/>
      <c r="BO21" s="500"/>
      <c r="BP21" s="500"/>
      <c r="BQ21" s="500"/>
    </row>
    <row r="22" spans="1:69" ht="3" customHeight="1">
      <c r="A22" s="456"/>
      <c r="B22" s="266"/>
      <c r="C22" s="266"/>
      <c r="D22" s="266"/>
      <c r="E22" s="283"/>
      <c r="F22" s="283"/>
      <c r="G22" s="285"/>
      <c r="H22" s="465"/>
      <c r="I22" s="291"/>
      <c r="J22" s="291"/>
      <c r="K22" s="465"/>
      <c r="L22" s="291"/>
      <c r="M22" s="450"/>
      <c r="N22" s="451"/>
      <c r="O22" s="451"/>
      <c r="P22" s="451"/>
      <c r="Q22" s="452"/>
      <c r="R22" s="499"/>
      <c r="S22" s="514"/>
      <c r="T22" s="514"/>
      <c r="U22" s="523"/>
      <c r="V22" s="499"/>
      <c r="W22" s="499"/>
      <c r="X22" s="500"/>
      <c r="Y22" s="500"/>
      <c r="Z22" s="500"/>
      <c r="AA22" s="500"/>
      <c r="AB22" s="500"/>
      <c r="AC22" s="500"/>
      <c r="AD22" s="537"/>
      <c r="AE22" s="500"/>
      <c r="AF22" s="500"/>
      <c r="AG22" s="500"/>
      <c r="AH22" s="500"/>
      <c r="AI22" s="500"/>
      <c r="AJ22" s="500"/>
      <c r="AK22" s="500"/>
      <c r="AL22" s="500"/>
      <c r="AM22" s="500"/>
      <c r="AN22" s="500"/>
      <c r="AO22" s="500"/>
      <c r="AP22" s="500"/>
      <c r="AQ22" s="500"/>
      <c r="AR22" s="500"/>
      <c r="AS22" s="500"/>
      <c r="AT22" s="500"/>
      <c r="AU22" s="500"/>
      <c r="AV22" s="500"/>
      <c r="AW22" s="500"/>
      <c r="AX22" s="500"/>
      <c r="AY22" s="499"/>
      <c r="AZ22" s="499"/>
      <c r="BA22" s="499"/>
      <c r="BB22" s="499"/>
      <c r="BC22" s="538"/>
      <c r="BD22" s="499"/>
      <c r="BE22" s="499"/>
      <c r="BF22" s="500"/>
      <c r="BG22" s="500"/>
      <c r="BH22" s="500"/>
      <c r="BI22" s="500"/>
      <c r="BJ22" s="500"/>
      <c r="BK22" s="500"/>
      <c r="BL22" s="500"/>
      <c r="BM22" s="500"/>
      <c r="BN22" s="500"/>
      <c r="BO22" s="500"/>
      <c r="BP22" s="500"/>
      <c r="BQ22" s="500"/>
    </row>
    <row r="23" spans="1:69" ht="15" customHeight="1">
      <c r="A23" s="456"/>
      <c r="B23" s="266"/>
      <c r="C23" s="266"/>
      <c r="D23" s="266"/>
      <c r="E23" s="266"/>
      <c r="F23" s="266"/>
      <c r="G23" s="266"/>
      <c r="H23" s="266"/>
      <c r="I23" s="266"/>
      <c r="J23" s="266"/>
      <c r="K23" s="266"/>
      <c r="L23" s="266"/>
      <c r="M23" s="430"/>
      <c r="N23" s="752"/>
      <c r="O23" s="752"/>
      <c r="P23" s="752"/>
      <c r="Q23" s="292"/>
      <c r="R23" s="499"/>
      <c r="S23" s="514"/>
      <c r="T23" s="514"/>
      <c r="U23" s="523"/>
      <c r="V23" s="499"/>
      <c r="W23" s="499"/>
      <c r="X23" s="500"/>
      <c r="Y23" s="500"/>
      <c r="Z23" s="500"/>
      <c r="AA23" s="500"/>
      <c r="AB23" s="500"/>
      <c r="AC23" s="500"/>
      <c r="AD23" s="538"/>
      <c r="AE23" s="500"/>
      <c r="AF23" s="500"/>
      <c r="AG23" s="500"/>
      <c r="AH23" s="500"/>
      <c r="AI23" s="500"/>
      <c r="AJ23" s="500"/>
      <c r="AK23" s="500"/>
      <c r="AL23" s="500"/>
      <c r="AM23" s="500"/>
      <c r="AN23" s="500"/>
      <c r="AO23" s="500"/>
      <c r="AP23" s="500"/>
      <c r="AQ23" s="500"/>
      <c r="AR23" s="500"/>
      <c r="AS23" s="500"/>
      <c r="AT23" s="500"/>
      <c r="AU23" s="500"/>
      <c r="AV23" s="500"/>
      <c r="AW23" s="500"/>
      <c r="AX23" s="500"/>
      <c r="AY23" s="499"/>
      <c r="AZ23" s="499"/>
      <c r="BA23" s="499"/>
      <c r="BB23" s="499"/>
      <c r="BC23" s="499"/>
      <c r="BD23" s="499"/>
      <c r="BE23" s="499"/>
      <c r="BF23" s="500"/>
      <c r="BG23" s="500"/>
      <c r="BH23" s="500"/>
      <c r="BI23" s="500"/>
      <c r="BJ23" s="500"/>
      <c r="BK23" s="500"/>
      <c r="BL23" s="500"/>
      <c r="BM23" s="500"/>
      <c r="BN23" s="500"/>
      <c r="BO23" s="500"/>
      <c r="BP23" s="500"/>
      <c r="BQ23" s="500"/>
    </row>
    <row r="24" spans="1:69" ht="15" customHeight="1">
      <c r="A24" s="456"/>
      <c r="B24" s="266"/>
      <c r="C24" s="266"/>
      <c r="D24" s="266"/>
      <c r="E24" s="266"/>
      <c r="F24" s="266"/>
      <c r="G24" s="266"/>
      <c r="H24" s="266"/>
      <c r="I24" s="266"/>
      <c r="J24" s="266"/>
      <c r="K24" s="266"/>
      <c r="L24" s="266"/>
      <c r="M24" s="430"/>
      <c r="N24" s="752"/>
      <c r="O24" s="752"/>
      <c r="P24" s="752"/>
      <c r="Q24" s="292"/>
      <c r="R24" s="499"/>
      <c r="S24" s="539"/>
      <c r="T24" s="539"/>
      <c r="U24" s="523"/>
      <c r="V24" s="499"/>
      <c r="W24" s="499"/>
      <c r="X24" s="500"/>
      <c r="Y24" s="500"/>
      <c r="Z24" s="500"/>
      <c r="AA24" s="500"/>
      <c r="AB24" s="500"/>
      <c r="AC24" s="500"/>
      <c r="AD24" s="538"/>
      <c r="AE24" s="500"/>
      <c r="AF24" s="500"/>
      <c r="AG24" s="500"/>
      <c r="AH24" s="500"/>
      <c r="AI24" s="500"/>
      <c r="AJ24" s="500"/>
      <c r="AK24" s="500"/>
      <c r="AL24" s="500"/>
      <c r="AM24" s="500"/>
      <c r="AN24" s="500"/>
      <c r="AO24" s="500"/>
      <c r="AP24" s="500"/>
      <c r="AQ24" s="500"/>
      <c r="AR24" s="500"/>
      <c r="AS24" s="500"/>
      <c r="AT24" s="500"/>
      <c r="AU24" s="500"/>
      <c r="AV24" s="500"/>
      <c r="AW24" s="500"/>
      <c r="AX24" s="500"/>
      <c r="AY24" s="499"/>
      <c r="AZ24" s="499"/>
      <c r="BA24" s="499"/>
      <c r="BB24" s="499"/>
      <c r="BC24" s="499"/>
      <c r="BD24" s="499"/>
      <c r="BE24" s="499"/>
      <c r="BF24" s="500"/>
      <c r="BG24" s="500"/>
      <c r="BH24" s="500"/>
      <c r="BI24" s="500"/>
      <c r="BJ24" s="500"/>
      <c r="BK24" s="500"/>
      <c r="BL24" s="500"/>
      <c r="BM24" s="500"/>
      <c r="BN24" s="500"/>
      <c r="BO24" s="500"/>
      <c r="BP24" s="500"/>
      <c r="BQ24" s="500"/>
    </row>
    <row r="25" spans="1:69" ht="15" customHeight="1">
      <c r="A25" s="456"/>
      <c r="B25" s="266"/>
      <c r="C25" s="266"/>
      <c r="D25" s="268"/>
      <c r="E25" s="268"/>
      <c r="F25" s="268"/>
      <c r="G25" s="268"/>
      <c r="H25" s="331"/>
      <c r="I25" s="268"/>
      <c r="J25" s="268"/>
      <c r="K25" s="268"/>
      <c r="L25" s="268"/>
      <c r="M25" s="430"/>
      <c r="N25" s="752"/>
      <c r="O25" s="752"/>
      <c r="P25" s="752"/>
      <c r="Q25" s="292"/>
      <c r="R25" s="275"/>
      <c r="S25" s="526"/>
      <c r="T25" s="526"/>
      <c r="U25" s="540"/>
      <c r="V25" s="501"/>
      <c r="W25" s="499"/>
      <c r="X25" s="499"/>
      <c r="Y25" s="500" t="str">
        <f>IF(G32="","",IF(MONTH(G32)&gt;3,YEAR(G32),YEAR(G32)-1))</f>
        <v/>
      </c>
      <c r="Z25" s="541" t="s">
        <v>657</v>
      </c>
      <c r="AA25" s="500"/>
      <c r="AB25" s="500"/>
      <c r="AC25" s="500"/>
      <c r="AD25" s="542"/>
      <c r="AE25" s="500"/>
      <c r="AF25" s="500"/>
      <c r="AG25" s="500"/>
      <c r="AH25" s="500"/>
      <c r="AI25" s="500"/>
      <c r="AJ25" s="500"/>
      <c r="AK25" s="500"/>
      <c r="AL25" s="500"/>
      <c r="AM25" s="500"/>
      <c r="AN25" s="500"/>
      <c r="AO25" s="543"/>
      <c r="AP25" s="543"/>
      <c r="AQ25" s="500"/>
      <c r="AR25" s="500"/>
      <c r="AS25" s="500"/>
      <c r="AT25" s="500"/>
      <c r="AU25" s="500"/>
      <c r="AV25" s="500"/>
      <c r="AW25" s="500"/>
      <c r="AX25" s="500"/>
      <c r="AY25" s="499"/>
      <c r="AZ25" s="499"/>
      <c r="BA25" s="499"/>
      <c r="BB25" s="499"/>
      <c r="BC25" s="499"/>
      <c r="BD25" s="499"/>
      <c r="BE25" s="499"/>
      <c r="BF25" s="500"/>
      <c r="BG25" s="500"/>
      <c r="BH25" s="500"/>
      <c r="BI25" s="500"/>
      <c r="BJ25" s="500"/>
      <c r="BK25" s="500"/>
      <c r="BL25" s="500"/>
      <c r="BM25" s="500"/>
      <c r="BN25" s="500"/>
      <c r="BO25" s="500"/>
      <c r="BP25" s="500"/>
      <c r="BQ25" s="500"/>
    </row>
    <row r="26" spans="1:69" ht="15" customHeight="1">
      <c r="A26" s="456"/>
      <c r="B26" s="266"/>
      <c r="C26" s="268"/>
      <c r="D26" s="268"/>
      <c r="E26" s="285"/>
      <c r="F26" s="285"/>
      <c r="G26" s="285"/>
      <c r="H26" s="285"/>
      <c r="I26" s="285"/>
      <c r="J26" s="285"/>
      <c r="K26" s="285"/>
      <c r="L26" s="285"/>
      <c r="M26" s="430"/>
      <c r="N26" s="752"/>
      <c r="O26" s="752"/>
      <c r="P26" s="752"/>
      <c r="Q26" s="292"/>
      <c r="R26" s="526"/>
      <c r="S26" s="544"/>
      <c r="T26" s="544"/>
      <c r="U26" s="545"/>
      <c r="V26" s="501"/>
      <c r="W26" s="499"/>
      <c r="X26" s="499"/>
      <c r="Y26" s="500"/>
      <c r="Z26" s="500"/>
      <c r="AA26" s="500"/>
      <c r="AB26" s="500"/>
      <c r="AC26" s="500"/>
      <c r="AD26" s="538"/>
      <c r="AE26" s="500"/>
      <c r="AF26" s="499"/>
      <c r="AG26" s="499"/>
      <c r="AH26" s="500"/>
      <c r="AI26" s="500"/>
      <c r="AJ26" s="500"/>
      <c r="AK26" s="500"/>
      <c r="AL26" s="500"/>
      <c r="AM26" s="500"/>
      <c r="AN26" s="500"/>
      <c r="AO26" s="546"/>
      <c r="AP26" s="546"/>
      <c r="AQ26" s="500"/>
      <c r="AR26" s="500"/>
      <c r="AS26" s="500"/>
      <c r="AT26" s="500"/>
      <c r="AU26" s="500"/>
      <c r="AV26" s="500"/>
      <c r="AW26" s="500"/>
      <c r="AX26" s="500"/>
      <c r="AY26" s="499"/>
      <c r="AZ26" s="499"/>
      <c r="BA26" s="499"/>
      <c r="BB26" s="499"/>
      <c r="BC26" s="499"/>
      <c r="BD26" s="499"/>
      <c r="BE26" s="499"/>
      <c r="BF26" s="500"/>
      <c r="BG26" s="500"/>
      <c r="BH26" s="500"/>
      <c r="BI26" s="500"/>
      <c r="BJ26" s="500"/>
      <c r="BK26" s="500"/>
      <c r="BL26" s="500"/>
      <c r="BM26" s="500"/>
      <c r="BN26" s="500"/>
      <c r="BO26" s="500"/>
      <c r="BP26" s="500"/>
      <c r="BQ26" s="500"/>
    </row>
    <row r="27" spans="1:69" ht="15" customHeight="1">
      <c r="A27" s="456"/>
      <c r="B27" s="266"/>
      <c r="C27" s="268"/>
      <c r="D27" s="268"/>
      <c r="E27" s="266"/>
      <c r="F27" s="294"/>
      <c r="G27" s="266"/>
      <c r="H27" s="266"/>
      <c r="I27" s="266"/>
      <c r="J27" s="266"/>
      <c r="K27" s="266"/>
      <c r="L27" s="291"/>
      <c r="M27" s="430"/>
      <c r="N27" s="752"/>
      <c r="O27" s="752"/>
      <c r="P27" s="752"/>
      <c r="Q27" s="292"/>
      <c r="R27" s="333"/>
      <c r="S27" s="526"/>
      <c r="T27" s="526"/>
      <c r="U27" s="540"/>
      <c r="V27" s="501"/>
      <c r="W27" s="499"/>
      <c r="X27" s="499"/>
      <c r="Y27" s="500"/>
      <c r="Z27" s="547"/>
      <c r="AA27" s="499"/>
      <c r="AB27" s="499"/>
      <c r="AC27" s="499"/>
      <c r="AD27" s="499"/>
      <c r="AE27" s="500"/>
      <c r="AF27" s="500"/>
      <c r="AG27" s="500"/>
      <c r="AH27" s="500"/>
      <c r="AI27" s="500"/>
      <c r="AJ27" s="500"/>
      <c r="AK27" s="500"/>
      <c r="AL27" s="500"/>
      <c r="AM27" s="500"/>
      <c r="AN27" s="500"/>
      <c r="AO27" s="548"/>
      <c r="AP27" s="548"/>
      <c r="AQ27" s="500"/>
      <c r="AR27" s="500"/>
      <c r="AS27" s="500"/>
      <c r="AT27" s="500"/>
      <c r="AU27" s="500"/>
      <c r="AV27" s="500"/>
      <c r="AW27" s="500"/>
      <c r="AX27" s="500"/>
      <c r="AY27" s="499"/>
      <c r="AZ27" s="499"/>
      <c r="BA27" s="499"/>
      <c r="BB27" s="499"/>
      <c r="BC27" s="499"/>
      <c r="BD27" s="499"/>
      <c r="BE27" s="499"/>
      <c r="BF27" s="500"/>
      <c r="BG27" s="500"/>
      <c r="BH27" s="500"/>
      <c r="BI27" s="500"/>
      <c r="BJ27" s="500"/>
      <c r="BK27" s="500"/>
      <c r="BL27" s="500"/>
      <c r="BM27" s="500"/>
      <c r="BN27" s="500"/>
      <c r="BO27" s="500"/>
      <c r="BP27" s="500"/>
      <c r="BQ27" s="500"/>
    </row>
    <row r="28" spans="1:69" ht="15" customHeight="1">
      <c r="A28" s="456"/>
      <c r="B28" s="266"/>
      <c r="C28" s="268"/>
      <c r="D28" s="268"/>
      <c r="E28" s="266"/>
      <c r="F28" s="294"/>
      <c r="G28" s="266"/>
      <c r="H28" s="266"/>
      <c r="I28" s="266"/>
      <c r="J28" s="266"/>
      <c r="K28" s="266"/>
      <c r="L28" s="291"/>
      <c r="M28" s="430"/>
      <c r="N28" s="752"/>
      <c r="O28" s="752"/>
      <c r="P28" s="752"/>
      <c r="Q28" s="292"/>
      <c r="R28" s="333"/>
      <c r="S28" s="526"/>
      <c r="T28" s="526"/>
      <c r="U28" s="540"/>
      <c r="V28" s="501"/>
      <c r="W28" s="499"/>
      <c r="X28" s="499"/>
      <c r="Y28" s="500"/>
      <c r="Z28" s="547"/>
      <c r="AA28" s="499"/>
      <c r="AB28" s="499"/>
      <c r="AC28" s="499"/>
      <c r="AD28" s="499"/>
      <c r="AE28" s="500"/>
      <c r="AF28" s="500"/>
      <c r="AG28" s="500"/>
      <c r="AH28" s="500"/>
      <c r="AI28" s="500"/>
      <c r="AJ28" s="500"/>
      <c r="AK28" s="500"/>
      <c r="AL28" s="500"/>
      <c r="AM28" s="500"/>
      <c r="AN28" s="500"/>
      <c r="AO28" s="548"/>
      <c r="AP28" s="548"/>
      <c r="AQ28" s="500"/>
      <c r="AR28" s="500"/>
      <c r="AS28" s="500"/>
      <c r="AT28" s="500"/>
      <c r="AU28" s="500"/>
      <c r="AV28" s="500"/>
      <c r="AW28" s="500"/>
      <c r="AX28" s="500"/>
      <c r="AY28" s="499"/>
      <c r="AZ28" s="499"/>
      <c r="BA28" s="499"/>
      <c r="BB28" s="499"/>
      <c r="BC28" s="499"/>
      <c r="BD28" s="499"/>
      <c r="BE28" s="499"/>
      <c r="BF28" s="500"/>
      <c r="BG28" s="500"/>
      <c r="BH28" s="500"/>
      <c r="BI28" s="500"/>
      <c r="BJ28" s="500"/>
      <c r="BK28" s="500"/>
      <c r="BL28" s="500"/>
      <c r="BM28" s="500"/>
      <c r="BN28" s="500"/>
      <c r="BO28" s="500"/>
      <c r="BP28" s="500"/>
      <c r="BQ28" s="500"/>
    </row>
    <row r="29" spans="1:69" ht="15" customHeight="1">
      <c r="A29" s="456"/>
      <c r="B29" s="266"/>
      <c r="C29" s="268"/>
      <c r="D29" s="268"/>
      <c r="E29" s="266"/>
      <c r="F29" s="294"/>
      <c r="G29" s="266"/>
      <c r="H29" s="266"/>
      <c r="I29" s="266"/>
      <c r="J29" s="266"/>
      <c r="K29" s="266"/>
      <c r="L29" s="291"/>
      <c r="M29" s="430"/>
      <c r="N29" s="752"/>
      <c r="O29" s="752"/>
      <c r="P29" s="752"/>
      <c r="Q29" s="292"/>
      <c r="R29" s="333"/>
      <c r="S29" s="526"/>
      <c r="T29" s="526"/>
      <c r="U29" s="540"/>
      <c r="V29" s="501"/>
      <c r="W29" s="499"/>
      <c r="X29" s="499"/>
      <c r="Y29" s="500"/>
      <c r="Z29" s="547"/>
      <c r="AA29" s="499"/>
      <c r="AB29" s="499"/>
      <c r="AC29" s="499"/>
      <c r="AD29" s="499"/>
      <c r="AE29" s="500"/>
      <c r="AF29" s="500"/>
      <c r="AG29" s="500"/>
      <c r="AH29" s="500"/>
      <c r="AI29" s="500"/>
      <c r="AJ29" s="500"/>
      <c r="AK29" s="500"/>
      <c r="AL29" s="500"/>
      <c r="AM29" s="500"/>
      <c r="AN29" s="500"/>
      <c r="AO29" s="548"/>
      <c r="AP29" s="548"/>
      <c r="AQ29" s="500"/>
      <c r="AR29" s="500"/>
      <c r="AS29" s="500"/>
      <c r="AT29" s="500"/>
      <c r="AU29" s="500"/>
      <c r="AV29" s="500"/>
      <c r="AW29" s="500"/>
      <c r="AX29" s="500"/>
      <c r="AY29" s="499"/>
      <c r="AZ29" s="499"/>
      <c r="BA29" s="499"/>
      <c r="BB29" s="499"/>
      <c r="BC29" s="499"/>
      <c r="BD29" s="499"/>
      <c r="BE29" s="499"/>
      <c r="BF29" s="500"/>
      <c r="BG29" s="500"/>
      <c r="BH29" s="500"/>
      <c r="BI29" s="500"/>
      <c r="BJ29" s="500"/>
      <c r="BK29" s="500"/>
      <c r="BL29" s="500"/>
      <c r="BM29" s="500"/>
      <c r="BN29" s="500"/>
      <c r="BO29" s="500"/>
      <c r="BP29" s="500"/>
      <c r="BQ29" s="500"/>
    </row>
    <row r="30" spans="1:69" ht="3" customHeight="1">
      <c r="A30" s="456"/>
      <c r="B30" s="266"/>
      <c r="C30" s="266"/>
      <c r="D30" s="268"/>
      <c r="E30" s="266"/>
      <c r="F30" s="294"/>
      <c r="G30" s="266"/>
      <c r="H30" s="298"/>
      <c r="I30" s="266"/>
      <c r="J30" s="266"/>
      <c r="K30" s="266"/>
      <c r="L30" s="266"/>
      <c r="M30" s="453"/>
      <c r="N30" s="454"/>
      <c r="O30" s="454"/>
      <c r="P30" s="454"/>
      <c r="Q30" s="455"/>
      <c r="R30" s="333"/>
      <c r="S30" s="330"/>
      <c r="T30" s="330"/>
      <c r="U30" s="457"/>
      <c r="V30" s="501"/>
      <c r="W30" s="499"/>
      <c r="X30" s="499"/>
      <c r="Y30" s="500"/>
      <c r="Z30" s="500"/>
      <c r="AA30" s="500"/>
      <c r="AB30" s="500"/>
      <c r="AC30" s="500"/>
      <c r="AD30" s="500"/>
      <c r="AE30" s="500"/>
      <c r="AF30" s="500"/>
      <c r="AG30" s="500"/>
      <c r="AH30" s="500"/>
      <c r="AI30" s="500"/>
      <c r="AJ30" s="500"/>
      <c r="AK30" s="500"/>
      <c r="AL30" s="500"/>
      <c r="AM30" s="500"/>
      <c r="AN30" s="500"/>
      <c r="AO30" s="501"/>
      <c r="AP30" s="501"/>
      <c r="AQ30" s="500"/>
      <c r="AR30" s="500"/>
      <c r="AS30" s="500"/>
      <c r="AT30" s="500"/>
      <c r="AU30" s="500"/>
      <c r="AV30" s="500"/>
      <c r="AW30" s="500"/>
      <c r="AX30" s="500"/>
      <c r="AY30" s="549"/>
      <c r="AZ30" s="500"/>
      <c r="BA30" s="500"/>
      <c r="BB30" s="500"/>
      <c r="BC30" s="500"/>
      <c r="BD30" s="500"/>
      <c r="BE30" s="500"/>
      <c r="BF30" s="500"/>
      <c r="BG30" s="500"/>
      <c r="BH30" s="500"/>
      <c r="BI30" s="500"/>
      <c r="BJ30" s="500"/>
      <c r="BK30" s="500"/>
      <c r="BL30" s="500"/>
      <c r="BM30" s="500"/>
      <c r="BN30" s="500"/>
      <c r="BO30" s="500"/>
      <c r="BP30" s="500"/>
      <c r="BQ30" s="500"/>
    </row>
    <row r="31" spans="1:69" ht="15" customHeight="1">
      <c r="A31" s="456"/>
      <c r="B31" s="266"/>
      <c r="C31" s="282" t="s">
        <v>303</v>
      </c>
      <c r="D31" s="268"/>
      <c r="E31" s="283"/>
      <c r="F31" s="294"/>
      <c r="G31" s="266"/>
      <c r="H31" s="298"/>
      <c r="I31" s="266"/>
      <c r="J31" s="266"/>
      <c r="K31" s="266"/>
      <c r="L31" s="266"/>
      <c r="M31" s="266"/>
      <c r="N31" s="266"/>
      <c r="O31" s="266"/>
      <c r="P31" s="266"/>
      <c r="Q31" s="333"/>
      <c r="R31" s="333"/>
      <c r="S31" s="330"/>
      <c r="T31" s="330"/>
      <c r="U31" s="457"/>
      <c r="V31" s="501"/>
      <c r="W31" s="499"/>
      <c r="X31" s="499"/>
      <c r="Y31" s="550" t="s">
        <v>487</v>
      </c>
      <c r="Z31" s="500"/>
      <c r="AA31" s="500"/>
      <c r="AB31" s="500"/>
      <c r="AC31" s="500"/>
      <c r="AD31" s="500"/>
      <c r="AE31" s="500"/>
      <c r="AF31" s="500"/>
      <c r="AG31" s="500"/>
      <c r="AH31" s="500"/>
      <c r="AI31" s="500"/>
      <c r="AJ31" s="500"/>
      <c r="AK31" s="500"/>
      <c r="AL31" s="500"/>
      <c r="AM31" s="500"/>
      <c r="AN31" s="500"/>
      <c r="AO31" s="501"/>
      <c r="AP31" s="501"/>
      <c r="AQ31" s="500"/>
      <c r="AR31" s="500"/>
      <c r="AS31" s="500"/>
      <c r="AT31" s="500"/>
      <c r="AU31" s="500"/>
      <c r="AV31" s="500"/>
      <c r="AW31" s="500"/>
      <c r="AX31" s="500"/>
      <c r="AY31" s="500"/>
      <c r="AZ31" s="500"/>
      <c r="BA31" s="500"/>
      <c r="BB31" s="500"/>
      <c r="BC31" s="500"/>
      <c r="BD31" s="500"/>
      <c r="BE31" s="500"/>
      <c r="BF31" s="500"/>
      <c r="BG31" s="500"/>
      <c r="BH31" s="500"/>
      <c r="BI31" s="500"/>
      <c r="BJ31" s="500"/>
      <c r="BK31" s="500"/>
      <c r="BL31" s="500"/>
      <c r="BM31" s="500"/>
      <c r="BN31" s="500"/>
      <c r="BO31" s="500"/>
      <c r="BP31" s="500"/>
      <c r="BQ31" s="500"/>
    </row>
    <row r="32" spans="1:69" ht="15" customHeight="1">
      <c r="A32" s="456"/>
      <c r="B32" s="266"/>
      <c r="C32" s="268"/>
      <c r="D32" s="268"/>
      <c r="E32" s="283" t="s">
        <v>314</v>
      </c>
      <c r="F32" s="266"/>
      <c r="G32" s="748"/>
      <c r="H32" s="748"/>
      <c r="I32" s="481" t="s">
        <v>654</v>
      </c>
      <c r="J32" s="748"/>
      <c r="K32" s="748"/>
      <c r="L32" s="266"/>
      <c r="M32" s="266"/>
      <c r="N32" s="278" t="s">
        <v>315</v>
      </c>
      <c r="O32" s="266"/>
      <c r="P32" s="266"/>
      <c r="Q32" s="333"/>
      <c r="R32" s="333"/>
      <c r="S32" s="330"/>
      <c r="T32" s="330"/>
      <c r="U32" s="457"/>
      <c r="V32" s="501"/>
      <c r="W32" s="499"/>
      <c r="X32" s="499"/>
      <c r="Y32" s="551"/>
      <c r="Z32" s="755" t="s">
        <v>481</v>
      </c>
      <c r="AA32" s="735"/>
      <c r="AB32" s="735"/>
      <c r="AC32" s="756" t="s">
        <v>484</v>
      </c>
      <c r="AD32" s="735"/>
      <c r="AE32" s="735"/>
      <c r="AF32" s="756" t="s">
        <v>485</v>
      </c>
      <c r="AG32" s="735"/>
      <c r="AH32" s="734" t="s">
        <v>585</v>
      </c>
      <c r="AI32" s="735"/>
      <c r="AJ32" s="500"/>
      <c r="AK32" s="500"/>
      <c r="AL32" s="500"/>
      <c r="AM32" s="500"/>
      <c r="AN32" s="500"/>
      <c r="AO32" s="501"/>
      <c r="AP32" s="501"/>
      <c r="AQ32" s="500"/>
      <c r="AR32" s="500"/>
      <c r="AS32" s="500"/>
      <c r="AT32" s="500"/>
      <c r="AU32" s="500"/>
      <c r="AV32" s="500"/>
      <c r="AW32" s="500"/>
      <c r="AX32" s="500"/>
      <c r="AY32" s="500"/>
      <c r="AZ32" s="500"/>
      <c r="BA32" s="500"/>
      <c r="BB32" s="500"/>
      <c r="BC32" s="500"/>
      <c r="BD32" s="500"/>
      <c r="BE32" s="500"/>
      <c r="BF32" s="500"/>
      <c r="BG32" s="500"/>
      <c r="BH32" s="500"/>
      <c r="BI32" s="500"/>
      <c r="BJ32" s="500"/>
      <c r="BK32" s="500"/>
      <c r="BL32" s="500"/>
      <c r="BM32" s="500"/>
      <c r="BN32" s="500"/>
      <c r="BO32" s="500"/>
      <c r="BP32" s="500"/>
      <c r="BQ32" s="500"/>
    </row>
    <row r="33" spans="1:69" ht="15" customHeight="1" thickBot="1">
      <c r="A33" s="456"/>
      <c r="B33" s="266"/>
      <c r="C33" s="268"/>
      <c r="D33" s="268"/>
      <c r="E33" s="283" t="s">
        <v>326</v>
      </c>
      <c r="F33" s="332"/>
      <c r="G33" s="300" t="s">
        <v>659</v>
      </c>
      <c r="H33" s="333"/>
      <c r="I33" s="333"/>
      <c r="J33" s="333"/>
      <c r="K33" s="333"/>
      <c r="L33" s="333"/>
      <c r="M33" s="333"/>
      <c r="N33" s="333"/>
      <c r="O33" s="333"/>
      <c r="P33" s="333"/>
      <c r="Q33" s="333"/>
      <c r="R33" s="333"/>
      <c r="S33" s="330"/>
      <c r="T33" s="330"/>
      <c r="U33" s="457"/>
      <c r="V33" s="501"/>
      <c r="W33" s="499"/>
      <c r="X33" s="499"/>
      <c r="Y33" s="552" t="s">
        <v>480</v>
      </c>
      <c r="Z33" s="553" t="s">
        <v>486</v>
      </c>
      <c r="AA33" s="554" t="s">
        <v>482</v>
      </c>
      <c r="AB33" s="554" t="s">
        <v>483</v>
      </c>
      <c r="AC33" s="554" t="s">
        <v>486</v>
      </c>
      <c r="AD33" s="554" t="s">
        <v>482</v>
      </c>
      <c r="AE33" s="554" t="str">
        <f>AA18</f>
        <v>m3</v>
      </c>
      <c r="AF33" s="554" t="s">
        <v>486</v>
      </c>
      <c r="AG33" s="554" t="s">
        <v>482</v>
      </c>
      <c r="AH33" s="554" t="s">
        <v>486</v>
      </c>
      <c r="AI33" s="554" t="s">
        <v>482</v>
      </c>
      <c r="AJ33" s="512"/>
      <c r="AK33" s="500"/>
      <c r="AL33" s="500"/>
      <c r="AM33" s="500"/>
      <c r="AN33" s="500"/>
      <c r="AO33" s="555"/>
      <c r="AP33" s="555"/>
      <c r="AQ33" s="500"/>
      <c r="AR33" s="500"/>
      <c r="AS33" s="500"/>
      <c r="AT33" s="500"/>
      <c r="AU33" s="500"/>
      <c r="AV33" s="500"/>
      <c r="AW33" s="500"/>
      <c r="AX33" s="500"/>
      <c r="AY33" s="500"/>
      <c r="AZ33" s="500"/>
      <c r="BA33" s="500"/>
      <c r="BB33" s="500"/>
      <c r="BC33" s="500"/>
      <c r="BD33" s="500"/>
      <c r="BE33" s="500"/>
      <c r="BF33" s="500"/>
      <c r="BG33" s="500"/>
      <c r="BH33" s="500"/>
      <c r="BI33" s="500"/>
      <c r="BJ33" s="500"/>
      <c r="BK33" s="500"/>
      <c r="BL33" s="500"/>
      <c r="BM33" s="500"/>
      <c r="BN33" s="500"/>
      <c r="BO33" s="500"/>
      <c r="BP33" s="500"/>
      <c r="BQ33" s="500"/>
    </row>
    <row r="34" spans="1:69" ht="15" customHeight="1" thickTop="1">
      <c r="A34" s="456"/>
      <c r="B34" s="266"/>
      <c r="C34" s="266"/>
      <c r="D34" s="266"/>
      <c r="E34" s="283"/>
      <c r="F34" s="294"/>
      <c r="G34" s="283" t="s">
        <v>327</v>
      </c>
      <c r="H34" s="499"/>
      <c r="I34" s="266"/>
      <c r="J34" s="266"/>
      <c r="K34" s="266"/>
      <c r="L34" s="266"/>
      <c r="M34" s="266"/>
      <c r="N34" s="266"/>
      <c r="O34" s="291"/>
      <c r="P34" s="291"/>
      <c r="Q34" s="291"/>
      <c r="R34" s="333"/>
      <c r="S34" s="330"/>
      <c r="T34" s="330"/>
      <c r="U34" s="457"/>
      <c r="V34" s="501"/>
      <c r="W34" s="499"/>
      <c r="X34" s="499"/>
      <c r="Y34" s="556">
        <v>2015</v>
      </c>
      <c r="Z34" s="557" t="e">
        <f t="shared" ref="Z34:Z42" si="0">AB34*$Z$19/1000</f>
        <v>#REF!</v>
      </c>
      <c r="AA34" s="558" t="e">
        <f t="shared" ref="AA34:AA42" si="1">AB34*$Z$20</f>
        <v>#REF!</v>
      </c>
      <c r="AB34" s="558" t="e">
        <f>#REF!</f>
        <v>#REF!</v>
      </c>
      <c r="AC34" s="559" t="e">
        <f>#REF!</f>
        <v>#REF!</v>
      </c>
      <c r="AD34" s="558" t="e">
        <f t="shared" ref="AD34:AD42" si="2">AE34*$AA$20</f>
        <v>#REF!</v>
      </c>
      <c r="AE34" s="560" t="e">
        <f>#REF!</f>
        <v>#REF!</v>
      </c>
      <c r="AF34" s="561" t="e">
        <f>#REF!</f>
        <v>#REF!</v>
      </c>
      <c r="AG34" s="562" t="e">
        <f>#REF!</f>
        <v>#REF!</v>
      </c>
      <c r="AH34" s="563" t="e">
        <f>Z34+AC34+AF34</f>
        <v>#REF!</v>
      </c>
      <c r="AI34" s="564" t="e">
        <f>AA34+AD34+AG34</f>
        <v>#REF!</v>
      </c>
      <c r="AJ34" s="757"/>
      <c r="AK34" s="500" t="s">
        <v>281</v>
      </c>
      <c r="AL34" s="500"/>
      <c r="AM34" s="500"/>
      <c r="AN34" s="500"/>
      <c r="AO34" s="501"/>
      <c r="AP34" s="501"/>
      <c r="AQ34" s="500"/>
      <c r="AR34" s="500"/>
      <c r="AS34" s="500"/>
      <c r="AT34" s="500"/>
      <c r="AU34" s="500"/>
      <c r="AV34" s="500"/>
      <c r="AW34" s="500"/>
      <c r="AX34" s="500"/>
      <c r="AY34" s="500"/>
      <c r="AZ34" s="500"/>
      <c r="BA34" s="500"/>
      <c r="BB34" s="500"/>
      <c r="BC34" s="500"/>
      <c r="BD34" s="500"/>
      <c r="BE34" s="500"/>
      <c r="BF34" s="500"/>
      <c r="BG34" s="500"/>
      <c r="BH34" s="500"/>
      <c r="BI34" s="500"/>
      <c r="BJ34" s="500"/>
      <c r="BK34" s="500"/>
      <c r="BL34" s="500"/>
      <c r="BM34" s="500"/>
      <c r="BN34" s="500"/>
      <c r="BO34" s="500"/>
      <c r="BP34" s="500"/>
      <c r="BQ34" s="500"/>
    </row>
    <row r="35" spans="1:69" ht="15" customHeight="1">
      <c r="A35" s="456"/>
      <c r="B35" s="266"/>
      <c r="C35" s="282"/>
      <c r="D35" s="266"/>
      <c r="E35" s="283"/>
      <c r="F35" s="294"/>
      <c r="G35" s="283" t="s">
        <v>329</v>
      </c>
      <c r="H35" s="634"/>
      <c r="I35" s="285"/>
      <c r="J35" s="291"/>
      <c r="K35" s="291"/>
      <c r="L35" s="266"/>
      <c r="M35" s="266"/>
      <c r="N35" s="291"/>
      <c r="O35" s="291"/>
      <c r="P35" s="291"/>
      <c r="Q35" s="291"/>
      <c r="R35" s="333"/>
      <c r="S35" s="330"/>
      <c r="T35" s="330"/>
      <c r="U35" s="457"/>
      <c r="V35" s="501"/>
      <c r="W35" s="499"/>
      <c r="X35" s="499"/>
      <c r="Y35" s="565">
        <v>2016</v>
      </c>
      <c r="Z35" s="557" t="e">
        <f t="shared" si="0"/>
        <v>#REF!</v>
      </c>
      <c r="AA35" s="558" t="e">
        <f t="shared" si="1"/>
        <v>#REF!</v>
      </c>
      <c r="AB35" s="566" t="e">
        <f>#REF!</f>
        <v>#REF!</v>
      </c>
      <c r="AC35" s="567" t="e">
        <f>#REF!</f>
        <v>#REF!</v>
      </c>
      <c r="AD35" s="558" t="e">
        <f t="shared" si="2"/>
        <v>#REF!</v>
      </c>
      <c r="AE35" s="568" t="e">
        <f>#REF!</f>
        <v>#REF!</v>
      </c>
      <c r="AF35" s="569" t="e">
        <f>#REF!</f>
        <v>#REF!</v>
      </c>
      <c r="AG35" s="570" t="e">
        <f>#REF!</f>
        <v>#REF!</v>
      </c>
      <c r="AH35" s="567" t="e">
        <f t="shared" ref="AH35:AH42" si="3">Z35+AC35+AF35</f>
        <v>#REF!</v>
      </c>
      <c r="AI35" s="568" t="e">
        <f t="shared" ref="AI35:AI42" si="4">AA35+AD35+AG35</f>
        <v>#REF!</v>
      </c>
      <c r="AJ35" s="757"/>
      <c r="AK35" s="571" t="s">
        <v>586</v>
      </c>
      <c r="AL35" s="500"/>
      <c r="AM35" s="500"/>
      <c r="AN35" s="500"/>
      <c r="AO35" s="536" t="str">
        <f>'3_床面積'!M3</f>
        <v/>
      </c>
      <c r="AP35" s="571" t="s">
        <v>587</v>
      </c>
      <c r="AQ35" s="500"/>
      <c r="AR35" s="500"/>
      <c r="AS35" s="500"/>
      <c r="AT35" s="500"/>
      <c r="AU35" s="500"/>
      <c r="AV35" s="500"/>
      <c r="AW35" s="500"/>
      <c r="AX35" s="500"/>
      <c r="AY35" s="500"/>
      <c r="AZ35" s="500"/>
      <c r="BA35" s="500"/>
      <c r="BB35" s="500"/>
      <c r="BC35" s="500"/>
      <c r="BD35" s="500"/>
      <c r="BE35" s="500"/>
      <c r="BF35" s="500"/>
      <c r="BG35" s="500"/>
      <c r="BH35" s="500"/>
      <c r="BI35" s="500"/>
      <c r="BJ35" s="500"/>
      <c r="BK35" s="500"/>
      <c r="BL35" s="500"/>
      <c r="BM35" s="500"/>
      <c r="BN35" s="500"/>
      <c r="BO35" s="500"/>
      <c r="BP35" s="500"/>
      <c r="BQ35" s="500"/>
    </row>
    <row r="36" spans="1:69" ht="15" customHeight="1">
      <c r="A36" s="456"/>
      <c r="B36" s="266"/>
      <c r="C36" s="282"/>
      <c r="D36" s="266"/>
      <c r="E36" s="283"/>
      <c r="F36" s="294"/>
      <c r="G36" s="266"/>
      <c r="H36" s="266"/>
      <c r="I36" s="266"/>
      <c r="J36" s="266"/>
      <c r="K36" s="266"/>
      <c r="L36" s="266"/>
      <c r="M36" s="266"/>
      <c r="N36" s="266"/>
      <c r="O36" s="291"/>
      <c r="P36" s="291"/>
      <c r="Q36" s="291"/>
      <c r="R36" s="333"/>
      <c r="S36" s="330"/>
      <c r="T36" s="330"/>
      <c r="U36" s="457"/>
      <c r="V36" s="501"/>
      <c r="W36" s="499"/>
      <c r="X36" s="499"/>
      <c r="Y36" s="565">
        <v>2017</v>
      </c>
      <c r="Z36" s="557" t="e">
        <f t="shared" si="0"/>
        <v>#REF!</v>
      </c>
      <c r="AA36" s="558" t="e">
        <f t="shared" si="1"/>
        <v>#REF!</v>
      </c>
      <c r="AB36" s="566" t="e">
        <f>#REF!</f>
        <v>#REF!</v>
      </c>
      <c r="AC36" s="567" t="e">
        <f>#REF!</f>
        <v>#REF!</v>
      </c>
      <c r="AD36" s="558" t="e">
        <f t="shared" si="2"/>
        <v>#REF!</v>
      </c>
      <c r="AE36" s="568" t="e">
        <f>#REF!</f>
        <v>#REF!</v>
      </c>
      <c r="AF36" s="569" t="e">
        <f>#REF!</f>
        <v>#REF!</v>
      </c>
      <c r="AG36" s="570" t="e">
        <f>#REF!</f>
        <v>#REF!</v>
      </c>
      <c r="AH36" s="567" t="e">
        <f t="shared" si="3"/>
        <v>#REF!</v>
      </c>
      <c r="AI36" s="568" t="e">
        <f t="shared" si="4"/>
        <v>#REF!</v>
      </c>
      <c r="AJ36" s="757"/>
      <c r="AK36" s="572">
        <f>IF(AK55="",0,IF(AK55&gt;AN36,1,0))</f>
        <v>0</v>
      </c>
      <c r="AL36" s="573">
        <f>IF(AM55="",0,IF(AM55&gt;AN36,1,0))</f>
        <v>0</v>
      </c>
      <c r="AM36" s="574" t="s">
        <v>224</v>
      </c>
      <c r="AN36" s="575" t="e">
        <f>ROUNDUP(1.5*$AO$35,1)</f>
        <v>#VALUE!</v>
      </c>
      <c r="AO36" s="501"/>
      <c r="AP36" s="501"/>
      <c r="AQ36" s="500"/>
      <c r="AR36" s="500"/>
      <c r="AS36" s="500"/>
      <c r="AT36" s="500"/>
      <c r="AU36" s="500"/>
      <c r="AV36" s="500"/>
      <c r="AW36" s="500"/>
      <c r="AX36" s="500"/>
      <c r="AY36" s="500"/>
      <c r="AZ36" s="500"/>
      <c r="BA36" s="500"/>
      <c r="BB36" s="500"/>
      <c r="BC36" s="500"/>
      <c r="BD36" s="500"/>
      <c r="BE36" s="500"/>
      <c r="BF36" s="500"/>
      <c r="BG36" s="500"/>
      <c r="BH36" s="500"/>
      <c r="BI36" s="500"/>
      <c r="BJ36" s="500"/>
      <c r="BK36" s="500"/>
      <c r="BL36" s="500"/>
      <c r="BM36" s="500"/>
      <c r="BN36" s="500"/>
      <c r="BO36" s="500"/>
      <c r="BP36" s="500"/>
      <c r="BQ36" s="500"/>
    </row>
    <row r="37" spans="1:69" ht="15" customHeight="1">
      <c r="A37" s="456"/>
      <c r="B37" s="266"/>
      <c r="C37" s="282" t="s">
        <v>330</v>
      </c>
      <c r="D37" s="266"/>
      <c r="E37" s="266"/>
      <c r="F37" s="266"/>
      <c r="G37" s="364" t="s">
        <v>331</v>
      </c>
      <c r="H37" s="266"/>
      <c r="I37" s="266"/>
      <c r="J37" s="266"/>
      <c r="K37" s="266"/>
      <c r="L37" s="266"/>
      <c r="M37" s="266"/>
      <c r="N37" s="266"/>
      <c r="O37" s="291"/>
      <c r="P37" s="291"/>
      <c r="Q37" s="291"/>
      <c r="R37" s="330"/>
      <c r="S37" s="576"/>
      <c r="T37" s="576"/>
      <c r="U37" s="577"/>
      <c r="V37" s="501"/>
      <c r="W37" s="499"/>
      <c r="X37" s="499"/>
      <c r="Y37" s="565">
        <v>2018</v>
      </c>
      <c r="Z37" s="557" t="e">
        <f t="shared" si="0"/>
        <v>#REF!</v>
      </c>
      <c r="AA37" s="558" t="e">
        <f t="shared" si="1"/>
        <v>#REF!</v>
      </c>
      <c r="AB37" s="566" t="e">
        <f>#REF!</f>
        <v>#REF!</v>
      </c>
      <c r="AC37" s="567" t="e">
        <f>#REF!</f>
        <v>#REF!</v>
      </c>
      <c r="AD37" s="558" t="e">
        <f t="shared" si="2"/>
        <v>#REF!</v>
      </c>
      <c r="AE37" s="568" t="e">
        <f>#REF!</f>
        <v>#REF!</v>
      </c>
      <c r="AF37" s="569" t="e">
        <f>#REF!</f>
        <v>#REF!</v>
      </c>
      <c r="AG37" s="570" t="e">
        <f>#REF!</f>
        <v>#REF!</v>
      </c>
      <c r="AH37" s="567" t="e">
        <f t="shared" si="3"/>
        <v>#REF!</v>
      </c>
      <c r="AI37" s="568" t="e">
        <f t="shared" si="4"/>
        <v>#REF!</v>
      </c>
      <c r="AJ37" s="578"/>
      <c r="AK37" s="572" t="e">
        <f>IF(AND(AK55&gt;AN37,AK55&lt;=AN36),1,0)</f>
        <v>#VALUE!</v>
      </c>
      <c r="AL37" s="573" t="e">
        <f>IF(AND(AM55&gt;AN37,AM55&lt;=AN36),1,0)</f>
        <v>#VALUE!</v>
      </c>
      <c r="AM37" s="579" t="s">
        <v>225</v>
      </c>
      <c r="AN37" s="575" t="e">
        <f>ROUNDUP(1.15*$AO$35,1)</f>
        <v>#VALUE!</v>
      </c>
      <c r="AO37" s="500"/>
      <c r="AP37" s="500"/>
      <c r="AQ37" s="500"/>
      <c r="AR37" s="500"/>
      <c r="AS37" s="500"/>
      <c r="AT37" s="500"/>
      <c r="AU37" s="500"/>
      <c r="AV37" s="500"/>
      <c r="AW37" s="500"/>
      <c r="AX37" s="500"/>
      <c r="AY37" s="500"/>
      <c r="AZ37" s="500"/>
      <c r="BA37" s="500"/>
      <c r="BB37" s="500"/>
      <c r="BC37" s="500"/>
      <c r="BD37" s="500"/>
      <c r="BE37" s="500"/>
      <c r="BF37" s="500"/>
      <c r="BG37" s="500"/>
      <c r="BH37" s="500"/>
      <c r="BI37" s="500"/>
      <c r="BJ37" s="500"/>
      <c r="BK37" s="500"/>
      <c r="BL37" s="500"/>
      <c r="BM37" s="500"/>
      <c r="BN37" s="500"/>
      <c r="BO37" s="500"/>
      <c r="BP37" s="500"/>
      <c r="BQ37" s="500"/>
    </row>
    <row r="38" spans="1:69" ht="15" customHeight="1">
      <c r="A38" s="456"/>
      <c r="B38" s="266"/>
      <c r="C38" s="282"/>
      <c r="D38" s="266"/>
      <c r="E38" s="266"/>
      <c r="F38" s="266"/>
      <c r="G38" s="302" t="s">
        <v>332</v>
      </c>
      <c r="H38" s="266"/>
      <c r="I38" s="266"/>
      <c r="J38" s="266"/>
      <c r="K38" s="266"/>
      <c r="L38" s="266"/>
      <c r="M38" s="266"/>
      <c r="N38" s="266"/>
      <c r="O38" s="291"/>
      <c r="P38" s="291"/>
      <c r="Q38" s="291"/>
      <c r="R38" s="580"/>
      <c r="S38" s="576"/>
      <c r="T38" s="576"/>
      <c r="U38" s="577"/>
      <c r="V38" s="501"/>
      <c r="W38" s="499"/>
      <c r="X38" s="499"/>
      <c r="Y38" s="565">
        <v>2019</v>
      </c>
      <c r="Z38" s="557" t="e">
        <f t="shared" si="0"/>
        <v>#REF!</v>
      </c>
      <c r="AA38" s="558" t="e">
        <f t="shared" si="1"/>
        <v>#REF!</v>
      </c>
      <c r="AB38" s="581" t="e">
        <f>#REF!</f>
        <v>#REF!</v>
      </c>
      <c r="AC38" s="582" t="e">
        <f>#REF!</f>
        <v>#REF!</v>
      </c>
      <c r="AD38" s="558" t="e">
        <f t="shared" si="2"/>
        <v>#REF!</v>
      </c>
      <c r="AE38" s="568" t="e">
        <f>#REF!</f>
        <v>#REF!</v>
      </c>
      <c r="AF38" s="569" t="e">
        <f>#REF!</f>
        <v>#REF!</v>
      </c>
      <c r="AG38" s="570" t="e">
        <f>#REF!</f>
        <v>#REF!</v>
      </c>
      <c r="AH38" s="567" t="e">
        <f t="shared" si="3"/>
        <v>#REF!</v>
      </c>
      <c r="AI38" s="568" t="e">
        <f t="shared" si="4"/>
        <v>#REF!</v>
      </c>
      <c r="AJ38" s="754"/>
      <c r="AK38" s="572" t="e">
        <f>IF(AND(AK55&gt;AN38,AK55&lt;=AN37),1,0)</f>
        <v>#VALUE!</v>
      </c>
      <c r="AL38" s="573" t="e">
        <f>IF(AND(AM55&gt;AN38,AM55&lt;=AN37),1,0)</f>
        <v>#VALUE!</v>
      </c>
      <c r="AM38" s="579" t="s">
        <v>154</v>
      </c>
      <c r="AN38" s="575" t="e">
        <f>ROUNDUP(1.1*$AO$35,1)</f>
        <v>#VALUE!</v>
      </c>
      <c r="AO38" s="500"/>
      <c r="AP38" s="500"/>
      <c r="AQ38" s="501"/>
      <c r="AR38" s="501"/>
      <c r="AS38" s="501"/>
      <c r="AT38" s="501"/>
      <c r="AU38" s="501"/>
      <c r="AV38" s="501"/>
      <c r="AW38" s="501"/>
      <c r="AX38" s="501"/>
      <c r="AY38" s="501"/>
      <c r="AZ38" s="501"/>
      <c r="BA38" s="500"/>
      <c r="BB38" s="500"/>
      <c r="BC38" s="500"/>
      <c r="BD38" s="500"/>
      <c r="BE38" s="500"/>
      <c r="BF38" s="500"/>
      <c r="BG38" s="500"/>
      <c r="BH38" s="500"/>
      <c r="BI38" s="500"/>
      <c r="BJ38" s="500"/>
      <c r="BK38" s="500"/>
      <c r="BL38" s="500"/>
      <c r="BM38" s="500"/>
      <c r="BN38" s="500"/>
      <c r="BO38" s="500"/>
      <c r="BP38" s="500"/>
      <c r="BQ38" s="500"/>
    </row>
    <row r="39" spans="1:69" ht="15" customHeight="1">
      <c r="A39" s="456"/>
      <c r="B39" s="266"/>
      <c r="C39" s="282"/>
      <c r="D39" s="266"/>
      <c r="E39" s="266"/>
      <c r="F39" s="266"/>
      <c r="G39" s="483" t="s">
        <v>640</v>
      </c>
      <c r="H39" s="742" t="s">
        <v>266</v>
      </c>
      <c r="I39" s="742"/>
      <c r="J39" s="742"/>
      <c r="K39" s="742"/>
      <c r="L39" s="742" t="s">
        <v>333</v>
      </c>
      <c r="M39" s="742"/>
      <c r="N39" s="742"/>
      <c r="O39" s="291"/>
      <c r="P39" s="291"/>
      <c r="Q39" s="291"/>
      <c r="R39" s="501"/>
      <c r="S39" s="576"/>
      <c r="T39" s="576"/>
      <c r="U39" s="577"/>
      <c r="V39" s="501"/>
      <c r="W39" s="499"/>
      <c r="X39" s="499"/>
      <c r="Y39" s="565">
        <v>2020</v>
      </c>
      <c r="Z39" s="557" t="e">
        <f t="shared" si="0"/>
        <v>#REF!</v>
      </c>
      <c r="AA39" s="558" t="e">
        <f t="shared" si="1"/>
        <v>#REF!</v>
      </c>
      <c r="AB39" s="583" t="e">
        <f>#REF!</f>
        <v>#REF!</v>
      </c>
      <c r="AC39" s="584" t="e">
        <f>#REF!</f>
        <v>#REF!</v>
      </c>
      <c r="AD39" s="558" t="e">
        <f t="shared" si="2"/>
        <v>#REF!</v>
      </c>
      <c r="AE39" s="568" t="e">
        <f>#REF!</f>
        <v>#REF!</v>
      </c>
      <c r="AF39" s="569" t="e">
        <f>#REF!</f>
        <v>#REF!</v>
      </c>
      <c r="AG39" s="570" t="e">
        <f>#REF!</f>
        <v>#REF!</v>
      </c>
      <c r="AH39" s="567" t="e">
        <f t="shared" si="3"/>
        <v>#REF!</v>
      </c>
      <c r="AI39" s="568" t="e">
        <f t="shared" si="4"/>
        <v>#REF!</v>
      </c>
      <c r="AJ39" s="754"/>
      <c r="AK39" s="572" t="e">
        <f>IF(AND(AK55&gt;AN39,AK55&lt;=AN38),1,0)</f>
        <v>#VALUE!</v>
      </c>
      <c r="AL39" s="573" t="e">
        <f>IF(AND(AM55&gt;AN39,AM55&lt;=AN38),1,0)</f>
        <v>#VALUE!</v>
      </c>
      <c r="AM39" s="585" t="s">
        <v>226</v>
      </c>
      <c r="AN39" s="575" t="e">
        <f>ROUNDUP(1.05*$AO$35,1)</f>
        <v>#VALUE!</v>
      </c>
      <c r="AO39" s="500"/>
      <c r="AP39" s="500"/>
      <c r="AQ39" s="501"/>
      <c r="AR39" s="501"/>
      <c r="AS39" s="501"/>
      <c r="AT39" s="501"/>
      <c r="AU39" s="501"/>
      <c r="AV39" s="501"/>
      <c r="AW39" s="501"/>
      <c r="AX39" s="501"/>
      <c r="AY39" s="501"/>
      <c r="AZ39" s="501"/>
      <c r="BA39" s="500"/>
      <c r="BB39" s="500"/>
      <c r="BC39" s="500"/>
      <c r="BD39" s="500"/>
      <c r="BE39" s="500"/>
      <c r="BF39" s="500"/>
      <c r="BG39" s="500"/>
      <c r="BH39" s="500"/>
      <c r="BI39" s="500"/>
      <c r="BJ39" s="500"/>
      <c r="BK39" s="500"/>
      <c r="BL39" s="500"/>
      <c r="BM39" s="500"/>
      <c r="BN39" s="500"/>
      <c r="BO39" s="500"/>
      <c r="BP39" s="500"/>
      <c r="BQ39" s="500"/>
    </row>
    <row r="40" spans="1:69" ht="15" customHeight="1">
      <c r="A40" s="456"/>
      <c r="B40" s="266"/>
      <c r="C40" s="282"/>
      <c r="D40" s="266"/>
      <c r="E40" s="283"/>
      <c r="F40" s="266"/>
      <c r="G40" s="490">
        <v>0.3</v>
      </c>
      <c r="H40" s="747" t="s">
        <v>683</v>
      </c>
      <c r="I40" s="747"/>
      <c r="J40" s="747"/>
      <c r="K40" s="747"/>
      <c r="L40" s="740" t="s">
        <v>682</v>
      </c>
      <c r="M40" s="740"/>
      <c r="N40" s="740"/>
      <c r="O40" s="291"/>
      <c r="P40" s="291"/>
      <c r="Q40" s="291"/>
      <c r="R40" s="275"/>
      <c r="S40" s="275"/>
      <c r="T40" s="275"/>
      <c r="U40" s="586"/>
      <c r="V40" s="501"/>
      <c r="W40" s="499"/>
      <c r="X40" s="499"/>
      <c r="Y40" s="565">
        <v>2021</v>
      </c>
      <c r="Z40" s="557" t="e">
        <f t="shared" si="0"/>
        <v>#REF!</v>
      </c>
      <c r="AA40" s="558" t="e">
        <f t="shared" si="1"/>
        <v>#REF!</v>
      </c>
      <c r="AB40" s="566" t="e">
        <f>#REF!</f>
        <v>#REF!</v>
      </c>
      <c r="AC40" s="567" t="e">
        <f>#REF!</f>
        <v>#REF!</v>
      </c>
      <c r="AD40" s="558" t="e">
        <f t="shared" si="2"/>
        <v>#REF!</v>
      </c>
      <c r="AE40" s="568" t="e">
        <f>#REF!</f>
        <v>#REF!</v>
      </c>
      <c r="AF40" s="569" t="e">
        <f>#REF!</f>
        <v>#REF!</v>
      </c>
      <c r="AG40" s="570" t="e">
        <f>#REF!</f>
        <v>#REF!</v>
      </c>
      <c r="AH40" s="567" t="e">
        <f t="shared" si="3"/>
        <v>#REF!</v>
      </c>
      <c r="AI40" s="568" t="e">
        <f t="shared" si="4"/>
        <v>#REF!</v>
      </c>
      <c r="AJ40" s="754"/>
      <c r="AK40" s="572" t="e">
        <f>IF(AND(AK55&gt;AN40,AK55&lt;=AN39),1,0)</f>
        <v>#VALUE!</v>
      </c>
      <c r="AL40" s="573" t="e">
        <f>IF(AND(AM55&gt;AN40,AM55&lt;=AN39),1,0)</f>
        <v>#VALUE!</v>
      </c>
      <c r="AM40" s="579" t="s">
        <v>227</v>
      </c>
      <c r="AN40" s="536" t="e">
        <f>ROUNDUP($AO$35,1)</f>
        <v>#VALUE!</v>
      </c>
      <c r="AO40" s="500"/>
      <c r="AP40" s="500"/>
      <c r="AQ40" s="501"/>
      <c r="AR40" s="501"/>
      <c r="AS40" s="501"/>
      <c r="AT40" s="501"/>
      <c r="AU40" s="501"/>
      <c r="AV40" s="501"/>
      <c r="AW40" s="501"/>
      <c r="AX40" s="501"/>
      <c r="AY40" s="501"/>
      <c r="AZ40" s="501"/>
      <c r="BA40" s="500"/>
      <c r="BB40" s="500"/>
      <c r="BC40" s="500"/>
      <c r="BD40" s="500"/>
      <c r="BE40" s="500"/>
      <c r="BF40" s="500"/>
      <c r="BG40" s="500"/>
      <c r="BH40" s="500"/>
      <c r="BI40" s="500"/>
      <c r="BJ40" s="500"/>
      <c r="BK40" s="500"/>
      <c r="BL40" s="500"/>
      <c r="BM40" s="500"/>
      <c r="BN40" s="500"/>
      <c r="BO40" s="500"/>
      <c r="BP40" s="500"/>
      <c r="BQ40" s="500"/>
    </row>
    <row r="41" spans="1:69" ht="15" customHeight="1">
      <c r="A41" s="456"/>
      <c r="B41" s="266"/>
      <c r="C41" s="282"/>
      <c r="D41" s="266"/>
      <c r="E41" s="283"/>
      <c r="F41" s="294"/>
      <c r="G41" s="490">
        <v>0.7</v>
      </c>
      <c r="H41" s="747" t="s">
        <v>683</v>
      </c>
      <c r="I41" s="747"/>
      <c r="J41" s="747"/>
      <c r="K41" s="747"/>
      <c r="L41" s="740" t="s">
        <v>672</v>
      </c>
      <c r="M41" s="740"/>
      <c r="N41" s="740"/>
      <c r="O41" s="291"/>
      <c r="P41" s="266"/>
      <c r="Q41" s="266"/>
      <c r="R41" s="501"/>
      <c r="S41" s="501"/>
      <c r="T41" s="501"/>
      <c r="U41" s="587"/>
      <c r="V41" s="501"/>
      <c r="W41" s="499"/>
      <c r="X41" s="499"/>
      <c r="Y41" s="565">
        <v>2022</v>
      </c>
      <c r="Z41" s="557" t="e">
        <f t="shared" si="0"/>
        <v>#REF!</v>
      </c>
      <c r="AA41" s="558" t="e">
        <f t="shared" si="1"/>
        <v>#REF!</v>
      </c>
      <c r="AB41" s="566" t="e">
        <f>#REF!</f>
        <v>#REF!</v>
      </c>
      <c r="AC41" s="567" t="e">
        <f>#REF!</f>
        <v>#REF!</v>
      </c>
      <c r="AD41" s="558" t="e">
        <f t="shared" si="2"/>
        <v>#REF!</v>
      </c>
      <c r="AE41" s="568" t="e">
        <f>#REF!</f>
        <v>#REF!</v>
      </c>
      <c r="AF41" s="569" t="e">
        <f>#REF!</f>
        <v>#REF!</v>
      </c>
      <c r="AG41" s="570" t="e">
        <f>#REF!</f>
        <v>#REF!</v>
      </c>
      <c r="AH41" s="567" t="e">
        <f t="shared" si="3"/>
        <v>#REF!</v>
      </c>
      <c r="AI41" s="568" t="e">
        <f t="shared" si="4"/>
        <v>#REF!</v>
      </c>
      <c r="AJ41" s="275"/>
      <c r="AK41" s="572" t="e">
        <f>IF(AND(AK55&gt;AN41,AK55&lt;=AN40),1,0)</f>
        <v>#VALUE!</v>
      </c>
      <c r="AL41" s="573" t="e">
        <f>IF(AND(AM55&gt;AN41,AM55&lt;=AN40),1,0)</f>
        <v>#VALUE!</v>
      </c>
      <c r="AM41" s="579" t="s">
        <v>228</v>
      </c>
      <c r="AN41" s="575" t="e">
        <f>ROUNDUP(0.95*$AO$35,1)</f>
        <v>#VALUE!</v>
      </c>
      <c r="AO41" s="500"/>
      <c r="AP41" s="500"/>
      <c r="AQ41" s="275"/>
      <c r="AR41" s="275"/>
      <c r="AS41" s="275"/>
      <c r="AT41" s="275"/>
      <c r="AU41" s="275"/>
      <c r="AV41" s="275"/>
      <c r="AW41" s="275"/>
      <c r="AX41" s="275"/>
      <c r="AY41" s="501"/>
      <c r="AZ41" s="501"/>
      <c r="BA41" s="500"/>
      <c r="BB41" s="500"/>
      <c r="BC41" s="500"/>
      <c r="BD41" s="500"/>
      <c r="BE41" s="500"/>
      <c r="BF41" s="500"/>
      <c r="BG41" s="500"/>
      <c r="BH41" s="500"/>
      <c r="BI41" s="500"/>
      <c r="BJ41" s="500"/>
      <c r="BK41" s="500"/>
      <c r="BL41" s="500"/>
      <c r="BM41" s="500"/>
      <c r="BN41" s="500"/>
      <c r="BO41" s="500"/>
      <c r="BP41" s="500"/>
      <c r="BQ41" s="500"/>
    </row>
    <row r="42" spans="1:69" ht="15" customHeight="1">
      <c r="A42" s="456"/>
      <c r="B42" s="266"/>
      <c r="C42" s="282"/>
      <c r="D42" s="266"/>
      <c r="E42" s="283"/>
      <c r="F42" s="294"/>
      <c r="G42" s="491"/>
      <c r="H42" s="736"/>
      <c r="I42" s="737"/>
      <c r="J42" s="737"/>
      <c r="K42" s="738"/>
      <c r="L42" s="740"/>
      <c r="M42" s="740"/>
      <c r="N42" s="740"/>
      <c r="O42" s="291"/>
      <c r="P42" s="266"/>
      <c r="Q42" s="266"/>
      <c r="R42" s="546"/>
      <c r="S42" s="546"/>
      <c r="T42" s="501"/>
      <c r="U42" s="587"/>
      <c r="V42" s="501"/>
      <c r="W42" s="499"/>
      <c r="X42" s="499"/>
      <c r="Y42" s="565">
        <v>2023</v>
      </c>
      <c r="Z42" s="557" t="e">
        <f t="shared" si="0"/>
        <v>#REF!</v>
      </c>
      <c r="AA42" s="558" t="e">
        <f t="shared" si="1"/>
        <v>#REF!</v>
      </c>
      <c r="AB42" s="566" t="e">
        <f>#REF!</f>
        <v>#REF!</v>
      </c>
      <c r="AC42" s="567" t="e">
        <f>#REF!</f>
        <v>#REF!</v>
      </c>
      <c r="AD42" s="558" t="e">
        <f t="shared" si="2"/>
        <v>#REF!</v>
      </c>
      <c r="AE42" s="568" t="e">
        <f>#REF!</f>
        <v>#REF!</v>
      </c>
      <c r="AF42" s="569" t="e">
        <f>#REF!</f>
        <v>#REF!</v>
      </c>
      <c r="AG42" s="570" t="e">
        <f>#REF!</f>
        <v>#REF!</v>
      </c>
      <c r="AH42" s="567" t="e">
        <f t="shared" si="3"/>
        <v>#REF!</v>
      </c>
      <c r="AI42" s="568" t="e">
        <f t="shared" si="4"/>
        <v>#REF!</v>
      </c>
      <c r="AJ42" s="275"/>
      <c r="AK42" s="572" t="e">
        <f>IF(AND(AK55&gt;AN42,AK55&lt;=AN41),1,0)</f>
        <v>#VALUE!</v>
      </c>
      <c r="AL42" s="573" t="e">
        <f>IF(AND(AM55&gt;AN42,AM55&lt;=AN41),1,0)</f>
        <v>#VALUE!</v>
      </c>
      <c r="AM42" s="574" t="s">
        <v>284</v>
      </c>
      <c r="AN42" s="575" t="e">
        <f>ROUNDUP(0.9*$AO$35,1)</f>
        <v>#VALUE!</v>
      </c>
      <c r="AO42" s="588"/>
      <c r="AP42" s="588"/>
      <c r="AQ42" s="588"/>
      <c r="AR42" s="501"/>
      <c r="AS42" s="501"/>
      <c r="AT42" s="501"/>
      <c r="AU42" s="501"/>
      <c r="AV42" s="501"/>
      <c r="AW42" s="501"/>
      <c r="AX42" s="501"/>
      <c r="AY42" s="501"/>
      <c r="AZ42" s="501"/>
      <c r="BA42" s="500"/>
      <c r="BB42" s="500"/>
      <c r="BC42" s="500"/>
      <c r="BD42" s="500"/>
      <c r="BE42" s="500"/>
      <c r="BF42" s="500"/>
      <c r="BG42" s="500"/>
      <c r="BH42" s="500"/>
      <c r="BI42" s="500"/>
      <c r="BJ42" s="500"/>
      <c r="BK42" s="500"/>
      <c r="BL42" s="500"/>
      <c r="BM42" s="500"/>
      <c r="BN42" s="500"/>
      <c r="BO42" s="500"/>
      <c r="BP42" s="500"/>
      <c r="BQ42" s="500"/>
    </row>
    <row r="43" spans="1:69" ht="15" customHeight="1">
      <c r="A43" s="456"/>
      <c r="B43" s="266"/>
      <c r="C43" s="282"/>
      <c r="D43" s="266"/>
      <c r="E43" s="283"/>
      <c r="F43" s="294"/>
      <c r="G43" s="300" t="s">
        <v>334</v>
      </c>
      <c r="H43" s="266"/>
      <c r="I43" s="266"/>
      <c r="J43" s="266"/>
      <c r="K43" s="266"/>
      <c r="L43" s="266"/>
      <c r="M43" s="266"/>
      <c r="N43" s="266"/>
      <c r="O43" s="291"/>
      <c r="P43" s="266"/>
      <c r="Q43" s="266"/>
      <c r="R43" s="546"/>
      <c r="S43" s="546"/>
      <c r="T43" s="501"/>
      <c r="U43" s="587"/>
      <c r="V43" s="501"/>
      <c r="W43" s="499"/>
      <c r="X43" s="499"/>
      <c r="Y43" s="500"/>
      <c r="Z43" s="499"/>
      <c r="AA43" s="499"/>
      <c r="AB43" s="499"/>
      <c r="AC43" s="499"/>
      <c r="AD43" s="499"/>
      <c r="AE43" s="499"/>
      <c r="AF43" s="499"/>
      <c r="AG43" s="500"/>
      <c r="AH43" s="501"/>
      <c r="AI43" s="501"/>
      <c r="AJ43" s="544"/>
      <c r="AK43" s="572" t="e">
        <f>IF(AND(AK55&gt;AN43,AK55&lt;=AN42),1,0)</f>
        <v>#VALUE!</v>
      </c>
      <c r="AL43" s="573" t="e">
        <f>IF(AND(AM55&gt;AN43,AM55&lt;=AN42),1,0)</f>
        <v>#VALUE!</v>
      </c>
      <c r="AM43" s="579" t="s">
        <v>229</v>
      </c>
      <c r="AN43" s="575" t="e">
        <f>ROUNDUP(0.85*$AO$35,1)</f>
        <v>#VALUE!</v>
      </c>
      <c r="AO43" s="544"/>
      <c r="AP43" s="544"/>
      <c r="AQ43" s="544"/>
      <c r="AR43" s="544"/>
      <c r="AS43" s="544"/>
      <c r="AT43" s="544"/>
      <c r="AU43" s="544"/>
      <c r="AV43" s="544"/>
      <c r="AW43" s="544"/>
      <c r="AX43" s="501"/>
      <c r="AY43" s="501"/>
      <c r="AZ43" s="501"/>
      <c r="BA43" s="500"/>
      <c r="BB43" s="500"/>
      <c r="BC43" s="500"/>
      <c r="BD43" s="500"/>
      <c r="BE43" s="500"/>
      <c r="BF43" s="500"/>
      <c r="BG43" s="500"/>
      <c r="BH43" s="500"/>
      <c r="BI43" s="500"/>
      <c r="BJ43" s="500"/>
      <c r="BK43" s="500"/>
      <c r="BL43" s="500"/>
      <c r="BM43" s="500"/>
      <c r="BN43" s="500"/>
      <c r="BO43" s="500"/>
      <c r="BP43" s="500"/>
      <c r="BQ43" s="500"/>
    </row>
    <row r="44" spans="1:69" ht="15" customHeight="1">
      <c r="A44" s="456"/>
      <c r="B44" s="266"/>
      <c r="C44" s="266"/>
      <c r="D44" s="266"/>
      <c r="E44" s="283"/>
      <c r="F44" s="294"/>
      <c r="G44" s="302" t="s">
        <v>339</v>
      </c>
      <c r="H44" s="266"/>
      <c r="I44" s="266"/>
      <c r="J44" s="266"/>
      <c r="K44" s="266"/>
      <c r="L44" s="266"/>
      <c r="M44" s="266"/>
      <c r="N44" s="266"/>
      <c r="O44" s="291"/>
      <c r="P44" s="291"/>
      <c r="Q44" s="291"/>
      <c r="R44" s="544"/>
      <c r="S44" s="544"/>
      <c r="T44" s="501"/>
      <c r="U44" s="587"/>
      <c r="V44" s="501"/>
      <c r="W44" s="499"/>
      <c r="X44" s="499"/>
      <c r="Y44" s="500"/>
      <c r="Z44" s="499"/>
      <c r="AA44" s="499"/>
      <c r="AB44" s="499"/>
      <c r="AC44" s="499"/>
      <c r="AD44" s="499"/>
      <c r="AE44" s="499"/>
      <c r="AF44" s="499"/>
      <c r="AG44" s="500"/>
      <c r="AH44" s="501"/>
      <c r="AI44" s="753"/>
      <c r="AJ44" s="546"/>
      <c r="AK44" s="572" t="e">
        <f>IF(AND(AK55&gt;AN44,AK55&lt;=AN43),1,0)</f>
        <v>#VALUE!</v>
      </c>
      <c r="AL44" s="573" t="e">
        <f>IF(AND(AM55&gt;AN44,AM55&lt;=AN43),1,0)</f>
        <v>#VALUE!</v>
      </c>
      <c r="AM44" s="574" t="s">
        <v>288</v>
      </c>
      <c r="AN44" s="575" t="e">
        <f>ROUNDUP(0.8*$AO$35,1)</f>
        <v>#VALUE!</v>
      </c>
      <c r="AO44" s="546"/>
      <c r="AP44" s="546"/>
      <c r="AQ44" s="546"/>
      <c r="AR44" s="546"/>
      <c r="AS44" s="546"/>
      <c r="AT44" s="546"/>
      <c r="AU44" s="546"/>
      <c r="AV44" s="546"/>
      <c r="AW44" s="275"/>
      <c r="AX44" s="501"/>
      <c r="AY44" s="501"/>
      <c r="AZ44" s="501"/>
      <c r="BA44" s="500"/>
      <c r="BB44" s="500"/>
      <c r="BC44" s="500"/>
      <c r="BD44" s="500"/>
      <c r="BE44" s="500"/>
      <c r="BF44" s="500"/>
      <c r="BG44" s="500"/>
      <c r="BH44" s="500"/>
      <c r="BI44" s="500"/>
      <c r="BJ44" s="500"/>
      <c r="BK44" s="500"/>
      <c r="BL44" s="500"/>
      <c r="BM44" s="500"/>
      <c r="BN44" s="500"/>
      <c r="BO44" s="500"/>
      <c r="BP44" s="500"/>
      <c r="BQ44" s="500"/>
    </row>
    <row r="45" spans="1:69" ht="15" customHeight="1">
      <c r="A45" s="456"/>
      <c r="B45" s="266"/>
      <c r="C45" s="266"/>
      <c r="D45" s="266"/>
      <c r="E45" s="283"/>
      <c r="F45" s="294"/>
      <c r="G45" s="480" t="s">
        <v>640</v>
      </c>
      <c r="H45" s="742" t="s">
        <v>341</v>
      </c>
      <c r="I45" s="742"/>
      <c r="J45" s="742"/>
      <c r="K45" s="742"/>
      <c r="L45" s="742" t="s">
        <v>342</v>
      </c>
      <c r="M45" s="742"/>
      <c r="N45" s="742"/>
      <c r="O45" s="291"/>
      <c r="P45" s="291"/>
      <c r="Q45" s="291"/>
      <c r="R45" s="589"/>
      <c r="S45" s="589"/>
      <c r="T45" s="501"/>
      <c r="U45" s="587"/>
      <c r="V45" s="501"/>
      <c r="W45" s="499"/>
      <c r="X45" s="499"/>
      <c r="Y45" s="550" t="s">
        <v>488</v>
      </c>
      <c r="Z45" s="500"/>
      <c r="AA45" s="500"/>
      <c r="AB45" s="500"/>
      <c r="AC45" s="500"/>
      <c r="AD45" s="537"/>
      <c r="AE45" s="513">
        <f>G12-1</f>
        <v>-1</v>
      </c>
      <c r="AF45" s="500" t="s">
        <v>471</v>
      </c>
      <c r="AG45" s="500"/>
      <c r="AH45" s="501"/>
      <c r="AI45" s="753"/>
      <c r="AJ45" s="590"/>
      <c r="AK45" s="572" t="e">
        <f>IF(AND(AK55&gt;AN45,AK55&lt;=AN44),1,0)</f>
        <v>#VALUE!</v>
      </c>
      <c r="AL45" s="573" t="e">
        <f>IF(AND(AM55&gt;AN45,AM55&lt;=AN44),1,0)</f>
        <v>#VALUE!</v>
      </c>
      <c r="AM45" s="574" t="s">
        <v>230</v>
      </c>
      <c r="AN45" s="575" t="e">
        <f>ROUNDUP(0.75*$AO$35,1)</f>
        <v>#VALUE!</v>
      </c>
      <c r="AO45" s="590"/>
      <c r="AP45" s="590"/>
      <c r="AQ45" s="590"/>
      <c r="AR45" s="590"/>
      <c r="AS45" s="590"/>
      <c r="AT45" s="590"/>
      <c r="AU45" s="590"/>
      <c r="AV45" s="590"/>
      <c r="AW45" s="590"/>
      <c r="AX45" s="501"/>
      <c r="AY45" s="501"/>
      <c r="AZ45" s="501"/>
      <c r="BA45" s="500"/>
      <c r="BB45" s="500"/>
      <c r="BC45" s="500"/>
      <c r="BD45" s="500"/>
      <c r="BE45" s="500"/>
      <c r="BF45" s="500"/>
      <c r="BG45" s="500"/>
      <c r="BH45" s="500"/>
      <c r="BI45" s="500"/>
      <c r="BJ45" s="500"/>
      <c r="BK45" s="500"/>
      <c r="BL45" s="500"/>
      <c r="BM45" s="500"/>
      <c r="BN45" s="500"/>
      <c r="BO45" s="500"/>
      <c r="BP45" s="500"/>
      <c r="BQ45" s="500"/>
    </row>
    <row r="46" spans="1:69" ht="15" customHeight="1" thickBot="1">
      <c r="A46" s="456"/>
      <c r="B46" s="266"/>
      <c r="C46" s="282"/>
      <c r="D46" s="266"/>
      <c r="E46" s="283"/>
      <c r="F46" s="294"/>
      <c r="G46" s="490">
        <v>1</v>
      </c>
      <c r="H46" s="747" t="s">
        <v>689</v>
      </c>
      <c r="I46" s="747"/>
      <c r="J46" s="747"/>
      <c r="K46" s="747"/>
      <c r="L46" s="740" t="s">
        <v>678</v>
      </c>
      <c r="M46" s="740"/>
      <c r="N46" s="740"/>
      <c r="O46" s="291"/>
      <c r="P46" s="291"/>
      <c r="Q46" s="291"/>
      <c r="R46" s="275"/>
      <c r="S46" s="275"/>
      <c r="T46" s="275"/>
      <c r="U46" s="586"/>
      <c r="V46" s="499"/>
      <c r="W46" s="499"/>
      <c r="X46" s="499"/>
      <c r="Y46" s="591"/>
      <c r="Z46" s="592" t="s">
        <v>474</v>
      </c>
      <c r="AA46" s="593" t="s">
        <v>472</v>
      </c>
      <c r="AB46" s="594" t="s">
        <v>473</v>
      </c>
      <c r="AC46" s="594" t="s">
        <v>276</v>
      </c>
      <c r="AD46" s="524"/>
      <c r="AE46" s="499"/>
      <c r="AF46" s="538"/>
      <c r="AG46" s="500"/>
      <c r="AH46" s="501"/>
      <c r="AI46" s="753"/>
      <c r="AJ46" s="590"/>
      <c r="AK46" s="572" t="e">
        <f>IF(AND(AK55&gt;AN46,AK55&lt;=AN45),1,0)</f>
        <v>#VALUE!</v>
      </c>
      <c r="AL46" s="573" t="e">
        <f>IF(AND(AM55&gt;AN46,AM55&lt;=AN45),1,0)</f>
        <v>#VALUE!</v>
      </c>
      <c r="AM46" s="574" t="s">
        <v>292</v>
      </c>
      <c r="AN46" s="575" t="e">
        <f>ROUNDUP(0.7*$AO$35,1)</f>
        <v>#VALUE!</v>
      </c>
      <c r="AO46" s="590"/>
      <c r="AP46" s="590"/>
      <c r="AQ46" s="590"/>
      <c r="AR46" s="590"/>
      <c r="AS46" s="590"/>
      <c r="AT46" s="590"/>
      <c r="AU46" s="590"/>
      <c r="AV46" s="590"/>
      <c r="AW46" s="590"/>
      <c r="AX46" s="501"/>
      <c r="AY46" s="501"/>
      <c r="AZ46" s="501"/>
      <c r="BA46" s="500"/>
      <c r="BB46" s="500"/>
      <c r="BC46" s="500"/>
      <c r="BD46" s="500"/>
      <c r="BE46" s="500"/>
      <c r="BF46" s="500"/>
      <c r="BG46" s="500"/>
      <c r="BH46" s="500"/>
      <c r="BI46" s="500"/>
      <c r="BJ46" s="500"/>
      <c r="BK46" s="500"/>
      <c r="BL46" s="500"/>
      <c r="BM46" s="500"/>
      <c r="BN46" s="500"/>
      <c r="BO46" s="500"/>
      <c r="BP46" s="500"/>
      <c r="BQ46" s="500"/>
    </row>
    <row r="47" spans="1:69" ht="15" customHeight="1" thickTop="1">
      <c r="A47" s="456"/>
      <c r="B47" s="266"/>
      <c r="C47" s="266"/>
      <c r="D47" s="266"/>
      <c r="E47" s="283"/>
      <c r="F47" s="294"/>
      <c r="G47" s="490"/>
      <c r="H47" s="747"/>
      <c r="I47" s="747"/>
      <c r="J47" s="747"/>
      <c r="K47" s="747"/>
      <c r="L47" s="740"/>
      <c r="M47" s="740"/>
      <c r="N47" s="740"/>
      <c r="O47" s="291"/>
      <c r="P47" s="291"/>
      <c r="Q47" s="291"/>
      <c r="R47" s="275"/>
      <c r="S47" s="275"/>
      <c r="T47" s="275"/>
      <c r="U47" s="586"/>
      <c r="V47" s="499"/>
      <c r="W47" s="499"/>
      <c r="X47" s="500"/>
      <c r="Y47" s="595" t="s">
        <v>267</v>
      </c>
      <c r="Z47" s="596">
        <f>AB47*Z19/1000</f>
        <v>0</v>
      </c>
      <c r="AA47" s="597">
        <f>AB47*Z20</f>
        <v>0</v>
      </c>
      <c r="AB47" s="597">
        <f>IFERROR(HLOOKUP(AE45,#REF!,2,FALSE),0)</f>
        <v>0</v>
      </c>
      <c r="AC47" s="598" t="str">
        <f>Z18</f>
        <v>kWh</v>
      </c>
      <c r="AD47" s="524"/>
      <c r="AE47" s="499"/>
      <c r="AF47" s="538"/>
      <c r="AG47" s="500"/>
      <c r="AH47" s="501"/>
      <c r="AI47" s="599"/>
      <c r="AJ47" s="600"/>
      <c r="AK47" s="572" t="e">
        <f>IF(AND(AK55&gt;AN47,AK55&lt;=AN46),1,0)</f>
        <v>#VALUE!</v>
      </c>
      <c r="AL47" s="573" t="e">
        <f>IF(AND(AM55&gt;AN47,AM55&lt;=AN46),1,0)</f>
        <v>#VALUE!</v>
      </c>
      <c r="AM47" s="579" t="s">
        <v>231</v>
      </c>
      <c r="AN47" s="575" t="e">
        <f>ROUNDUP(0.65*$AO$35,1)</f>
        <v>#VALUE!</v>
      </c>
      <c r="AO47" s="500"/>
      <c r="AP47" s="500"/>
      <c r="AQ47" s="500"/>
      <c r="AR47" s="600"/>
      <c r="AS47" s="600"/>
      <c r="AT47" s="600"/>
      <c r="AU47" s="600"/>
      <c r="AV47" s="600"/>
      <c r="AW47" s="501"/>
      <c r="AX47" s="501"/>
      <c r="AY47" s="501"/>
      <c r="AZ47" s="501"/>
      <c r="BA47" s="500"/>
      <c r="BB47" s="500"/>
      <c r="BC47" s="500"/>
      <c r="BD47" s="500"/>
      <c r="BE47" s="500"/>
      <c r="BF47" s="500"/>
      <c r="BG47" s="500"/>
      <c r="BH47" s="500"/>
      <c r="BI47" s="500"/>
      <c r="BJ47" s="500"/>
      <c r="BK47" s="500"/>
      <c r="BL47" s="500"/>
      <c r="BM47" s="500"/>
      <c r="BN47" s="500"/>
      <c r="BO47" s="500"/>
      <c r="BP47" s="500"/>
      <c r="BQ47" s="500"/>
    </row>
    <row r="48" spans="1:69" ht="15" customHeight="1">
      <c r="A48" s="456"/>
      <c r="B48" s="266"/>
      <c r="C48" s="266"/>
      <c r="D48" s="266"/>
      <c r="E48" s="283"/>
      <c r="F48" s="294"/>
      <c r="G48" s="491"/>
      <c r="H48" s="736"/>
      <c r="I48" s="737"/>
      <c r="J48" s="737"/>
      <c r="K48" s="738"/>
      <c r="L48" s="740"/>
      <c r="M48" s="740"/>
      <c r="N48" s="740"/>
      <c r="O48" s="266"/>
      <c r="P48" s="266"/>
      <c r="Q48" s="266"/>
      <c r="R48" s="499"/>
      <c r="S48" s="275"/>
      <c r="T48" s="275"/>
      <c r="U48" s="586"/>
      <c r="V48" s="499"/>
      <c r="W48" s="499"/>
      <c r="X48" s="500"/>
      <c r="Y48" s="601" t="s">
        <v>329</v>
      </c>
      <c r="Z48" s="602">
        <f>IFERROR(HLOOKUP(AE45,#REF!,3,FALSE),0)</f>
        <v>0</v>
      </c>
      <c r="AA48" s="603">
        <f>AB48*AA20</f>
        <v>0</v>
      </c>
      <c r="AB48" s="603">
        <f>IFERROR(HLOOKUP(AE45,#REF!,2,FALSE),0)</f>
        <v>0</v>
      </c>
      <c r="AC48" s="604" t="str">
        <f>AA18</f>
        <v>m3</v>
      </c>
      <c r="AD48" s="524"/>
      <c r="AE48" s="499"/>
      <c r="AF48" s="538"/>
      <c r="AG48" s="500"/>
      <c r="AH48" s="501"/>
      <c r="AI48" s="605"/>
      <c r="AJ48" s="606"/>
      <c r="AK48" s="572" t="e">
        <f>IF(AND(AK55&gt;AN48,AK55&lt;=AN47),1,0)</f>
        <v>#VALUE!</v>
      </c>
      <c r="AL48" s="573" t="e">
        <f>IF(AND(AM55&gt;AN48,AM55&lt;=AN47),1,0)</f>
        <v>#VALUE!</v>
      </c>
      <c r="AM48" s="574" t="s">
        <v>232</v>
      </c>
      <c r="AN48" s="575" t="e">
        <f>ROUNDUP(0.6*$AO$35,1)</f>
        <v>#VALUE!</v>
      </c>
      <c r="AO48" s="500"/>
      <c r="AP48" s="500"/>
      <c r="AQ48" s="500"/>
      <c r="AR48" s="606"/>
      <c r="AS48" s="606"/>
      <c r="AT48" s="606"/>
      <c r="AU48" s="606"/>
      <c r="AV48" s="543"/>
      <c r="AW48" s="501"/>
      <c r="AX48" s="501"/>
      <c r="AY48" s="501"/>
      <c r="AZ48" s="501"/>
      <c r="BA48" s="500"/>
      <c r="BB48" s="500"/>
      <c r="BC48" s="500"/>
      <c r="BD48" s="500"/>
      <c r="BE48" s="500"/>
      <c r="BF48" s="500"/>
      <c r="BG48" s="500"/>
      <c r="BH48" s="500"/>
      <c r="BI48" s="500"/>
      <c r="BJ48" s="500"/>
      <c r="BK48" s="500"/>
      <c r="BL48" s="500"/>
      <c r="BM48" s="500"/>
      <c r="BN48" s="500"/>
      <c r="BO48" s="500"/>
      <c r="BP48" s="500"/>
      <c r="BQ48" s="500"/>
    </row>
    <row r="49" spans="1:69" ht="15" customHeight="1" thickBot="1">
      <c r="A49" s="456"/>
      <c r="B49" s="266"/>
      <c r="C49" s="266"/>
      <c r="D49" s="266"/>
      <c r="E49" s="283"/>
      <c r="F49" s="294"/>
      <c r="G49" s="300" t="s">
        <v>343</v>
      </c>
      <c r="H49" s="266"/>
      <c r="I49" s="266"/>
      <c r="J49" s="266"/>
      <c r="K49" s="266"/>
      <c r="L49" s="266"/>
      <c r="M49" s="266"/>
      <c r="N49" s="266"/>
      <c r="O49" s="266"/>
      <c r="P49" s="291"/>
      <c r="Q49" s="291"/>
      <c r="R49" s="275"/>
      <c r="S49" s="275"/>
      <c r="T49" s="275"/>
      <c r="U49" s="586"/>
      <c r="V49" s="499"/>
      <c r="W49" s="499"/>
      <c r="X49" s="500"/>
      <c r="Y49" s="607" t="s">
        <v>279</v>
      </c>
      <c r="Z49" s="608">
        <f>IFERROR(HLOOKUP(AE45,#REF!,2,FALSE),0)</f>
        <v>0</v>
      </c>
      <c r="AA49" s="609">
        <f>IFERROR(HLOOKUP(AE45,#REF!,3,FALSE),0)</f>
        <v>0</v>
      </c>
      <c r="AB49" s="609"/>
      <c r="AC49" s="610"/>
      <c r="AD49" s="528"/>
      <c r="AE49" s="499"/>
      <c r="AF49" s="538"/>
      <c r="AG49" s="500"/>
      <c r="AH49" s="501"/>
      <c r="AI49" s="611"/>
      <c r="AJ49" s="543"/>
      <c r="AK49" s="572" t="e">
        <f>IF(AND(AK55&gt;AN49,AK55&lt;=AN48),1,0)</f>
        <v>#VALUE!</v>
      </c>
      <c r="AL49" s="573" t="e">
        <f>IF(AND(AM55&gt;AN49,AM55&lt;=AN48),1,0)</f>
        <v>#VALUE!</v>
      </c>
      <c r="AM49" s="579" t="s">
        <v>233</v>
      </c>
      <c r="AN49" s="575" t="e">
        <f>ROUNDUP(0.55*$AO$35,1)</f>
        <v>#VALUE!</v>
      </c>
      <c r="AO49" s="500"/>
      <c r="AP49" s="500"/>
      <c r="AQ49" s="543"/>
      <c r="AR49" s="543"/>
      <c r="AS49" s="543"/>
      <c r="AT49" s="543"/>
      <c r="AU49" s="543"/>
      <c r="AV49" s="612"/>
      <c r="AW49" s="501"/>
      <c r="AX49" s="501"/>
      <c r="AY49" s="501"/>
      <c r="AZ49" s="501"/>
      <c r="BA49" s="500"/>
      <c r="BB49" s="500"/>
      <c r="BC49" s="500"/>
      <c r="BD49" s="500"/>
      <c r="BE49" s="500"/>
      <c r="BF49" s="500"/>
      <c r="BG49" s="500"/>
      <c r="BH49" s="500"/>
      <c r="BI49" s="500"/>
      <c r="BJ49" s="500"/>
      <c r="BK49" s="500"/>
      <c r="BL49" s="500"/>
      <c r="BM49" s="500"/>
      <c r="BN49" s="500"/>
      <c r="BO49" s="500"/>
      <c r="BP49" s="500"/>
      <c r="BQ49" s="500"/>
    </row>
    <row r="50" spans="1:69" ht="15" customHeight="1" thickTop="1" thickBot="1">
      <c r="A50" s="456"/>
      <c r="B50" s="266"/>
      <c r="C50" s="266"/>
      <c r="D50" s="266"/>
      <c r="E50" s="283"/>
      <c r="F50" s="294"/>
      <c r="G50" s="266"/>
      <c r="H50" s="266"/>
      <c r="I50" s="266"/>
      <c r="J50" s="266"/>
      <c r="K50" s="266"/>
      <c r="L50" s="266"/>
      <c r="M50" s="266"/>
      <c r="N50" s="266"/>
      <c r="O50" s="266"/>
      <c r="P50" s="291"/>
      <c r="Q50" s="291"/>
      <c r="R50" s="275"/>
      <c r="S50" s="275"/>
      <c r="T50" s="275"/>
      <c r="U50" s="586"/>
      <c r="V50" s="499"/>
      <c r="W50" s="499"/>
      <c r="X50" s="500"/>
      <c r="Y50" s="613"/>
      <c r="Z50" s="614" t="str">
        <f>IF(SUM(Z47:Z49)=0,"",SUM(Z47:Z49))</f>
        <v/>
      </c>
      <c r="AA50" s="615" t="str">
        <f>IF(SUM(AA47:AA49)=0,"",SUM(AA47:AA49))</f>
        <v/>
      </c>
      <c r="AB50" s="564"/>
      <c r="AC50" s="616"/>
      <c r="AD50" s="499"/>
      <c r="AE50" s="499"/>
      <c r="AF50" s="499"/>
      <c r="AG50" s="500"/>
      <c r="AH50" s="501"/>
      <c r="AI50" s="617"/>
      <c r="AJ50" s="546"/>
      <c r="AK50" s="618" t="e">
        <f>IF(Z17="",0,IF(AK55&lt;=AN50,1,0))</f>
        <v>#VALUE!</v>
      </c>
      <c r="AL50" s="619" t="e">
        <f>IF(Z18="",0,IF(AM55&lt;=AN50,1,0))</f>
        <v>#VALUE!</v>
      </c>
      <c r="AM50" s="620" t="s">
        <v>234</v>
      </c>
      <c r="AN50" s="575" t="e">
        <f>ROUNDUP(0.55*$AO$35,1)</f>
        <v>#VALUE!</v>
      </c>
      <c r="AO50" s="500"/>
      <c r="AP50" s="500"/>
      <c r="AQ50" s="546"/>
      <c r="AR50" s="546"/>
      <c r="AS50" s="546"/>
      <c r="AT50" s="546"/>
      <c r="AU50" s="546"/>
      <c r="AV50" s="546"/>
      <c r="AW50" s="275"/>
      <c r="AX50" s="501"/>
      <c r="AY50" s="501"/>
      <c r="AZ50" s="501"/>
      <c r="BA50" s="500"/>
      <c r="BB50" s="500"/>
      <c r="BC50" s="500"/>
      <c r="BD50" s="500"/>
      <c r="BE50" s="500"/>
      <c r="BF50" s="500"/>
      <c r="BG50" s="500"/>
      <c r="BH50" s="500"/>
      <c r="BI50" s="500"/>
      <c r="BJ50" s="500"/>
      <c r="BK50" s="500"/>
      <c r="BL50" s="500"/>
      <c r="BM50" s="500"/>
      <c r="BN50" s="500"/>
      <c r="BO50" s="500"/>
      <c r="BP50" s="500"/>
      <c r="BQ50" s="500"/>
    </row>
    <row r="51" spans="1:69" ht="15" customHeight="1">
      <c r="A51" s="456"/>
      <c r="B51" s="266"/>
      <c r="C51" s="282" t="s">
        <v>344</v>
      </c>
      <c r="D51" s="266"/>
      <c r="E51" s="283"/>
      <c r="F51" s="294"/>
      <c r="G51" s="300" t="s">
        <v>627</v>
      </c>
      <c r="H51" s="266"/>
      <c r="I51" s="266"/>
      <c r="J51" s="266"/>
      <c r="K51" s="266"/>
      <c r="L51" s="266"/>
      <c r="M51" s="266"/>
      <c r="N51" s="266"/>
      <c r="O51" s="291"/>
      <c r="P51" s="291"/>
      <c r="Q51" s="291"/>
      <c r="R51" s="275"/>
      <c r="S51" s="275"/>
      <c r="T51" s="275"/>
      <c r="U51" s="586"/>
      <c r="V51" s="499"/>
      <c r="W51" s="499"/>
      <c r="X51" s="500"/>
      <c r="Y51" s="499"/>
      <c r="Z51" s="537"/>
      <c r="AA51" s="537"/>
      <c r="AB51" s="537"/>
      <c r="AC51" s="499"/>
      <c r="AD51" s="499"/>
      <c r="AE51" s="499"/>
      <c r="AF51" s="499"/>
      <c r="AG51" s="500"/>
      <c r="AH51" s="509"/>
      <c r="AI51" s="617"/>
      <c r="AJ51" s="501"/>
      <c r="AK51" s="500"/>
      <c r="AL51" s="500"/>
      <c r="AM51" s="500"/>
      <c r="AN51" s="500"/>
      <c r="AO51" s="500"/>
      <c r="AP51" s="500"/>
      <c r="AQ51" s="501"/>
      <c r="AR51" s="501"/>
      <c r="AS51" s="501"/>
      <c r="AT51" s="501"/>
      <c r="AU51" s="501"/>
      <c r="AV51" s="621"/>
      <c r="AW51" s="501"/>
      <c r="AX51" s="501"/>
      <c r="AY51" s="501"/>
      <c r="AZ51" s="501"/>
      <c r="BA51" s="500"/>
      <c r="BB51" s="500"/>
      <c r="BC51" s="500"/>
      <c r="BD51" s="500"/>
      <c r="BE51" s="500"/>
      <c r="BF51" s="500"/>
      <c r="BG51" s="500"/>
      <c r="BH51" s="500"/>
      <c r="BI51" s="500"/>
      <c r="BJ51" s="500"/>
      <c r="BK51" s="500"/>
      <c r="BL51" s="500"/>
      <c r="BM51" s="500"/>
      <c r="BN51" s="500"/>
      <c r="BO51" s="500"/>
      <c r="BP51" s="500"/>
      <c r="BQ51" s="500"/>
    </row>
    <row r="52" spans="1:69" ht="15" customHeight="1">
      <c r="A52" s="456"/>
      <c r="B52" s="266"/>
      <c r="C52" s="266"/>
      <c r="D52" s="266"/>
      <c r="E52" s="283"/>
      <c r="F52" s="294"/>
      <c r="G52" s="298" t="s">
        <v>345</v>
      </c>
      <c r="H52" s="298"/>
      <c r="I52" s="739"/>
      <c r="J52" s="739"/>
      <c r="K52" s="364" t="s">
        <v>469</v>
      </c>
      <c r="L52" s="741"/>
      <c r="M52" s="741"/>
      <c r="N52" s="741"/>
      <c r="O52" s="266"/>
      <c r="P52" s="266"/>
      <c r="Q52" s="266"/>
      <c r="R52" s="499"/>
      <c r="S52" s="499"/>
      <c r="T52" s="499"/>
      <c r="U52" s="622"/>
      <c r="V52" s="499"/>
      <c r="W52" s="499"/>
      <c r="X52" s="500"/>
      <c r="Y52" s="499"/>
      <c r="Z52" s="524"/>
      <c r="AA52" s="524"/>
      <c r="AB52" s="538"/>
      <c r="AC52" s="499"/>
      <c r="AD52" s="499"/>
      <c r="AE52" s="499"/>
      <c r="AF52" s="499"/>
      <c r="AG52" s="500"/>
      <c r="AH52" s="501"/>
      <c r="AI52" s="617"/>
      <c r="AJ52" s="555"/>
      <c r="AK52" s="500"/>
      <c r="AL52" s="500"/>
      <c r="AM52" s="500"/>
      <c r="AN52" s="500"/>
      <c r="AO52" s="500"/>
      <c r="AP52" s="500"/>
      <c r="AQ52" s="501"/>
      <c r="AR52" s="501"/>
      <c r="AS52" s="501"/>
      <c r="AT52" s="501"/>
      <c r="AU52" s="501"/>
      <c r="AV52" s="621"/>
      <c r="AW52" s="501"/>
      <c r="AX52" s="501"/>
      <c r="AY52" s="501"/>
      <c r="AZ52" s="501"/>
      <c r="BA52" s="500"/>
      <c r="BB52" s="500"/>
      <c r="BC52" s="500"/>
      <c r="BD52" s="500"/>
      <c r="BE52" s="500"/>
      <c r="BF52" s="500"/>
      <c r="BG52" s="500"/>
      <c r="BH52" s="500"/>
      <c r="BI52" s="500"/>
      <c r="BJ52" s="500"/>
      <c r="BK52" s="500"/>
      <c r="BL52" s="500"/>
      <c r="BM52" s="500"/>
      <c r="BN52" s="500"/>
      <c r="BO52" s="500"/>
      <c r="BP52" s="500"/>
      <c r="BQ52" s="500"/>
    </row>
    <row r="53" spans="1:69" ht="15" customHeight="1">
      <c r="A53" s="456"/>
      <c r="B53" s="266"/>
      <c r="C53" s="266"/>
      <c r="D53" s="266"/>
      <c r="E53" s="283"/>
      <c r="F53" s="294"/>
      <c r="G53" s="340" t="s">
        <v>626</v>
      </c>
      <c r="H53" s="266"/>
      <c r="I53" s="266"/>
      <c r="J53" s="266"/>
      <c r="K53" s="266"/>
      <c r="L53" s="266"/>
      <c r="M53" s="266"/>
      <c r="N53" s="266"/>
      <c r="O53" s="266"/>
      <c r="P53" s="266"/>
      <c r="Q53" s="266"/>
      <c r="R53" s="499"/>
      <c r="S53" s="499"/>
      <c r="T53" s="499"/>
      <c r="U53" s="622"/>
      <c r="V53" s="499"/>
      <c r="W53" s="499"/>
      <c r="X53" s="499"/>
      <c r="Y53" s="499"/>
      <c r="Z53" s="524"/>
      <c r="AA53" s="524"/>
      <c r="AB53" s="538"/>
      <c r="AC53" s="499"/>
      <c r="AD53" s="499"/>
      <c r="AE53" s="499"/>
      <c r="AF53" s="499"/>
      <c r="AG53" s="499"/>
      <c r="AH53" s="501"/>
      <c r="AI53" s="617"/>
      <c r="AJ53" s="501"/>
      <c r="AK53" s="734" t="s">
        <v>588</v>
      </c>
      <c r="AL53" s="735"/>
      <c r="AM53" s="734" t="s">
        <v>589</v>
      </c>
      <c r="AN53" s="735"/>
      <c r="AO53" s="500"/>
      <c r="AP53" s="500"/>
      <c r="AQ53" s="501"/>
      <c r="AR53" s="501"/>
      <c r="AS53" s="501"/>
      <c r="AT53" s="501"/>
      <c r="AU53" s="501"/>
      <c r="AV53" s="501"/>
      <c r="AW53" s="590"/>
      <c r="AX53" s="501"/>
      <c r="AY53" s="501"/>
      <c r="AZ53" s="501"/>
      <c r="BA53" s="500"/>
      <c r="BB53" s="500"/>
      <c r="BC53" s="500"/>
      <c r="BD53" s="500"/>
      <c r="BE53" s="500"/>
      <c r="BF53" s="500"/>
      <c r="BG53" s="500"/>
      <c r="BH53" s="500"/>
      <c r="BI53" s="500"/>
      <c r="BJ53" s="500"/>
      <c r="BK53" s="500"/>
      <c r="BL53" s="500"/>
      <c r="BM53" s="500"/>
      <c r="BN53" s="500"/>
      <c r="BO53" s="500"/>
      <c r="BP53" s="500"/>
      <c r="BQ53" s="500"/>
    </row>
    <row r="54" spans="1:69" ht="15" customHeight="1">
      <c r="A54" s="456"/>
      <c r="B54" s="266"/>
      <c r="C54" s="266"/>
      <c r="D54" s="266"/>
      <c r="E54" s="266"/>
      <c r="F54" s="266"/>
      <c r="G54" s="298" t="s">
        <v>347</v>
      </c>
      <c r="H54" s="298"/>
      <c r="I54" s="739"/>
      <c r="J54" s="739"/>
      <c r="K54" s="364" t="s">
        <v>469</v>
      </c>
      <c r="L54" s="741"/>
      <c r="M54" s="741"/>
      <c r="N54" s="741"/>
      <c r="O54" s="266"/>
      <c r="P54" s="266"/>
      <c r="Q54" s="266"/>
      <c r="R54" s="499"/>
      <c r="S54" s="499"/>
      <c r="T54" s="499"/>
      <c r="U54" s="622"/>
      <c r="V54" s="499"/>
      <c r="W54" s="499"/>
      <c r="X54" s="499"/>
      <c r="Y54" s="499"/>
      <c r="Z54" s="524"/>
      <c r="AA54" s="524"/>
      <c r="AB54" s="538"/>
      <c r="AC54" s="499"/>
      <c r="AD54" s="499"/>
      <c r="AE54" s="499"/>
      <c r="AF54" s="499"/>
      <c r="AG54" s="499"/>
      <c r="AH54" s="501"/>
      <c r="AI54" s="617"/>
      <c r="AJ54" s="555"/>
      <c r="AK54" s="623" t="s">
        <v>591</v>
      </c>
      <c r="AL54" s="624" t="s">
        <v>590</v>
      </c>
      <c r="AM54" s="625" t="s">
        <v>591</v>
      </c>
      <c r="AN54" s="624" t="s">
        <v>590</v>
      </c>
      <c r="AO54" s="500"/>
      <c r="AP54" s="500"/>
      <c r="AQ54" s="555"/>
      <c r="AR54" s="555"/>
      <c r="AS54" s="555"/>
      <c r="AT54" s="555"/>
      <c r="AU54" s="555"/>
      <c r="AV54" s="555"/>
      <c r="AW54" s="590"/>
      <c r="AX54" s="501"/>
      <c r="AY54" s="501"/>
      <c r="AZ54" s="501"/>
      <c r="BA54" s="500"/>
      <c r="BB54" s="500"/>
      <c r="BC54" s="500"/>
      <c r="BD54" s="500"/>
      <c r="BE54" s="500"/>
      <c r="BF54" s="500"/>
      <c r="BG54" s="500"/>
      <c r="BH54" s="500"/>
      <c r="BI54" s="500"/>
      <c r="BJ54" s="500"/>
      <c r="BK54" s="500"/>
      <c r="BL54" s="500"/>
      <c r="BM54" s="500"/>
      <c r="BN54" s="500"/>
      <c r="BO54" s="500"/>
      <c r="BP54" s="500"/>
      <c r="BQ54" s="500"/>
    </row>
    <row r="55" spans="1:69" ht="15" customHeight="1">
      <c r="A55" s="456"/>
      <c r="B55" s="266"/>
      <c r="C55" s="266"/>
      <c r="D55" s="266"/>
      <c r="E55" s="266"/>
      <c r="F55" s="266"/>
      <c r="G55" s="340" t="s">
        <v>625</v>
      </c>
      <c r="H55" s="449"/>
      <c r="I55" s="449"/>
      <c r="J55" s="449"/>
      <c r="K55" s="449"/>
      <c r="L55" s="449"/>
      <c r="M55" s="449"/>
      <c r="N55" s="449"/>
      <c r="O55" s="449"/>
      <c r="P55" s="449"/>
      <c r="Q55" s="449"/>
      <c r="R55" s="626"/>
      <c r="S55" s="626"/>
      <c r="T55" s="626"/>
      <c r="U55" s="627"/>
      <c r="V55" s="499"/>
      <c r="W55" s="499"/>
      <c r="X55" s="499"/>
      <c r="Y55" s="547"/>
      <c r="Z55" s="528"/>
      <c r="AA55" s="528"/>
      <c r="AB55" s="542"/>
      <c r="AC55" s="499"/>
      <c r="AD55" s="499"/>
      <c r="AE55" s="499"/>
      <c r="AF55" s="499"/>
      <c r="AG55" s="499"/>
      <c r="AH55" s="501"/>
      <c r="AI55" s="501"/>
      <c r="AJ55" s="628"/>
      <c r="AK55" s="629" t="str">
        <f>IFERROR(Z50/G20*1000,"")</f>
        <v/>
      </c>
      <c r="AL55" s="630" t="e">
        <f>VLOOKUP(1,AK36:AM50,3,FALSE)</f>
        <v>#N/A</v>
      </c>
      <c r="AM55" s="629" t="str">
        <f>IFERROR((Z50-削減量集計!K23)/'2_メイン'!G20*1000,"")</f>
        <v/>
      </c>
      <c r="AN55" s="604" t="e">
        <f>VLOOKUP(1,AL36:AM50,2,FALSE)</f>
        <v>#N/A</v>
      </c>
      <c r="AO55" s="500"/>
      <c r="AP55" s="500"/>
      <c r="AQ55" s="501"/>
      <c r="AR55" s="501"/>
      <c r="AS55" s="501"/>
      <c r="AT55" s="501"/>
      <c r="AU55" s="501"/>
      <c r="AV55" s="501"/>
      <c r="AW55" s="590"/>
      <c r="AX55" s="501"/>
      <c r="AY55" s="501"/>
      <c r="AZ55" s="501"/>
      <c r="BA55" s="500"/>
      <c r="BB55" s="500"/>
      <c r="BC55" s="500"/>
      <c r="BD55" s="500"/>
      <c r="BE55" s="500"/>
      <c r="BF55" s="500"/>
      <c r="BG55" s="500"/>
      <c r="BH55" s="500"/>
      <c r="BI55" s="500"/>
      <c r="BJ55" s="500"/>
      <c r="BK55" s="500"/>
      <c r="BL55" s="500"/>
      <c r="BM55" s="500"/>
      <c r="BN55" s="500"/>
      <c r="BO55" s="500"/>
      <c r="BP55" s="500"/>
      <c r="BQ55" s="500"/>
    </row>
    <row r="56" spans="1:69" ht="15" customHeight="1">
      <c r="A56" s="456"/>
      <c r="B56" s="266"/>
      <c r="C56" s="266"/>
      <c r="D56" s="266"/>
      <c r="E56" s="266"/>
      <c r="F56" s="266"/>
      <c r="G56" s="303" t="s">
        <v>348</v>
      </c>
      <c r="H56" s="492"/>
      <c r="I56" s="739"/>
      <c r="J56" s="739"/>
      <c r="K56" s="364" t="s">
        <v>469</v>
      </c>
      <c r="L56" s="741"/>
      <c r="M56" s="741"/>
      <c r="N56" s="741"/>
      <c r="O56" s="449"/>
      <c r="P56" s="449"/>
      <c r="Q56" s="449"/>
      <c r="R56" s="626"/>
      <c r="S56" s="626"/>
      <c r="T56" s="626"/>
      <c r="U56" s="627"/>
      <c r="V56" s="499"/>
      <c r="W56" s="499"/>
      <c r="X56" s="499"/>
      <c r="Y56" s="499"/>
      <c r="Z56" s="499"/>
      <c r="AA56" s="499"/>
      <c r="AB56" s="499"/>
      <c r="AC56" s="499"/>
      <c r="AD56" s="499"/>
      <c r="AE56" s="499"/>
      <c r="AF56" s="499"/>
      <c r="AG56" s="499"/>
      <c r="AH56" s="501"/>
      <c r="AI56" s="501"/>
      <c r="AJ56" s="501"/>
      <c r="AK56" s="500"/>
      <c r="AL56" s="500"/>
      <c r="AM56" s="500"/>
      <c r="AN56" s="500"/>
      <c r="AO56" s="500"/>
      <c r="AP56" s="500"/>
      <c r="AQ56" s="501"/>
      <c r="AR56" s="501"/>
      <c r="AS56" s="501"/>
      <c r="AT56" s="501"/>
      <c r="AU56" s="501"/>
      <c r="AV56" s="501"/>
      <c r="AW56" s="501"/>
      <c r="AX56" s="501"/>
      <c r="AY56" s="501"/>
      <c r="AZ56" s="501"/>
      <c r="BA56" s="500"/>
      <c r="BB56" s="500"/>
      <c r="BC56" s="500"/>
      <c r="BD56" s="500"/>
      <c r="BE56" s="500"/>
      <c r="BF56" s="500"/>
      <c r="BG56" s="500"/>
      <c r="BH56" s="500"/>
      <c r="BI56" s="500"/>
      <c r="BJ56" s="500"/>
      <c r="BK56" s="500"/>
      <c r="BL56" s="500"/>
      <c r="BM56" s="500"/>
      <c r="BN56" s="500"/>
      <c r="BO56" s="500"/>
      <c r="BP56" s="500"/>
      <c r="BQ56" s="500"/>
    </row>
    <row r="57" spans="1:69" ht="15" customHeight="1">
      <c r="A57" s="456"/>
      <c r="B57" s="266"/>
      <c r="C57" s="266"/>
      <c r="D57" s="266"/>
      <c r="E57" s="266"/>
      <c r="F57" s="266"/>
      <c r="G57" s="340" t="s">
        <v>624</v>
      </c>
      <c r="H57" s="266"/>
      <c r="I57" s="266"/>
      <c r="J57" s="449"/>
      <c r="K57" s="449"/>
      <c r="L57" s="449"/>
      <c r="M57" s="449"/>
      <c r="N57" s="449"/>
      <c r="O57" s="449"/>
      <c r="P57" s="449"/>
      <c r="Q57" s="449"/>
      <c r="R57" s="626"/>
      <c r="S57" s="626"/>
      <c r="T57" s="626"/>
      <c r="U57" s="627"/>
      <c r="V57" s="499"/>
      <c r="W57" s="499"/>
      <c r="X57" s="499"/>
      <c r="Y57" s="499"/>
      <c r="Z57" s="499"/>
      <c r="AA57" s="499"/>
      <c r="AB57" s="499"/>
      <c r="AC57" s="499"/>
      <c r="AD57" s="499"/>
      <c r="AE57" s="499"/>
      <c r="AF57" s="499"/>
      <c r="AG57" s="499"/>
      <c r="AH57" s="501"/>
      <c r="AI57" s="501"/>
      <c r="AJ57" s="501"/>
      <c r="AK57" s="500"/>
      <c r="AL57" s="547"/>
      <c r="AM57" s="500"/>
      <c r="AN57" s="500"/>
      <c r="AO57" s="500"/>
      <c r="AP57" s="500"/>
      <c r="AQ57" s="501"/>
      <c r="AR57" s="501"/>
      <c r="AS57" s="501"/>
      <c r="AT57" s="501"/>
      <c r="AU57" s="501"/>
      <c r="AV57" s="501"/>
      <c r="AW57" s="501"/>
      <c r="AX57" s="501"/>
      <c r="AY57" s="501"/>
      <c r="AZ57" s="501"/>
      <c r="BA57" s="500"/>
      <c r="BB57" s="500"/>
      <c r="BC57" s="500"/>
      <c r="BD57" s="500"/>
      <c r="BE57" s="500"/>
      <c r="BF57" s="500"/>
      <c r="BG57" s="500"/>
      <c r="BH57" s="500"/>
      <c r="BI57" s="500"/>
      <c r="BJ57" s="500"/>
      <c r="BK57" s="500"/>
      <c r="BL57" s="500"/>
      <c r="BM57" s="500"/>
      <c r="BN57" s="500"/>
      <c r="BO57" s="500"/>
      <c r="BP57" s="500"/>
      <c r="BQ57" s="500"/>
    </row>
    <row r="58" spans="1:69" ht="15" customHeight="1">
      <c r="A58" s="456"/>
      <c r="B58" s="266"/>
      <c r="C58" s="266"/>
      <c r="D58" s="266"/>
      <c r="E58" s="266"/>
      <c r="F58" s="266"/>
      <c r="G58" s="449"/>
      <c r="H58" s="449"/>
      <c r="I58" s="449"/>
      <c r="J58" s="449"/>
      <c r="K58" s="449"/>
      <c r="L58" s="449"/>
      <c r="M58" s="449"/>
      <c r="N58" s="449"/>
      <c r="O58" s="449"/>
      <c r="P58" s="449"/>
      <c r="Q58" s="449"/>
      <c r="R58" s="626"/>
      <c r="S58" s="626"/>
      <c r="T58" s="626"/>
      <c r="U58" s="627"/>
      <c r="V58" s="499"/>
      <c r="W58" s="499"/>
      <c r="X58" s="499"/>
      <c r="Y58" s="631"/>
      <c r="Z58" s="631"/>
      <c r="AA58" s="631"/>
      <c r="AB58" s="631"/>
      <c r="AC58" s="499"/>
      <c r="AD58" s="499"/>
      <c r="AE58" s="499"/>
      <c r="AF58" s="499"/>
      <c r="AG58" s="499"/>
      <c r="AH58" s="499"/>
      <c r="AI58" s="499"/>
      <c r="AJ58" s="499"/>
      <c r="AK58" s="500"/>
      <c r="AL58" s="500"/>
      <c r="AM58" s="500"/>
      <c r="AN58" s="500"/>
      <c r="AO58" s="500"/>
      <c r="AP58" s="500"/>
      <c r="AQ58" s="500"/>
      <c r="AR58" s="500"/>
      <c r="AS58" s="500"/>
      <c r="AT58" s="500"/>
      <c r="AU58" s="500"/>
      <c r="AV58" s="500"/>
      <c r="AW58" s="500"/>
      <c r="AX58" s="500"/>
      <c r="AY58" s="500"/>
      <c r="AZ58" s="500"/>
      <c r="BA58" s="500"/>
      <c r="BB58" s="500"/>
      <c r="BC58" s="500"/>
      <c r="BD58" s="500"/>
      <c r="BE58" s="500"/>
      <c r="BF58" s="500"/>
      <c r="BG58" s="500"/>
      <c r="BH58" s="500"/>
      <c r="BI58" s="500"/>
      <c r="BJ58" s="500"/>
      <c r="BK58" s="500"/>
      <c r="BL58" s="500"/>
      <c r="BM58" s="500"/>
      <c r="BN58" s="500"/>
      <c r="BO58" s="500"/>
      <c r="BP58" s="500"/>
      <c r="BQ58" s="500"/>
    </row>
    <row r="59" spans="1:69" ht="15" customHeight="1">
      <c r="A59" s="456"/>
      <c r="B59" s="266"/>
      <c r="C59" s="282" t="s">
        <v>368</v>
      </c>
      <c r="D59" s="266"/>
      <c r="E59" s="266"/>
      <c r="F59" s="266"/>
      <c r="G59" s="758"/>
      <c r="H59" s="758"/>
      <c r="I59" s="758"/>
      <c r="J59" s="758"/>
      <c r="K59" s="758"/>
      <c r="L59" s="758"/>
      <c r="M59" s="758"/>
      <c r="N59" s="758"/>
      <c r="O59" s="758"/>
      <c r="P59" s="758"/>
      <c r="Q59" s="758"/>
      <c r="R59" s="626"/>
      <c r="S59" s="626"/>
      <c r="T59" s="626"/>
      <c r="U59" s="627"/>
      <c r="V59" s="499"/>
      <c r="W59" s="499"/>
      <c r="X59" s="499"/>
      <c r="Y59" s="499"/>
      <c r="Z59" s="499"/>
      <c r="AA59" s="499"/>
      <c r="AB59" s="499"/>
      <c r="AC59" s="499"/>
      <c r="AD59" s="499"/>
      <c r="AE59" s="499"/>
      <c r="AF59" s="499"/>
      <c r="AG59" s="499"/>
      <c r="AH59" s="499"/>
      <c r="AI59" s="499"/>
      <c r="AJ59" s="499"/>
      <c r="AK59" s="500"/>
      <c r="AL59" s="500"/>
      <c r="AM59" s="500"/>
      <c r="AN59" s="500"/>
      <c r="AO59" s="500"/>
      <c r="AP59" s="500"/>
      <c r="AQ59" s="500"/>
      <c r="AR59" s="500"/>
      <c r="AS59" s="500"/>
      <c r="AT59" s="500"/>
      <c r="AU59" s="500"/>
      <c r="AV59" s="500"/>
      <c r="AW59" s="500"/>
      <c r="AX59" s="500"/>
      <c r="AY59" s="500"/>
      <c r="AZ59" s="500"/>
      <c r="BA59" s="500"/>
      <c r="BB59" s="500"/>
      <c r="BC59" s="500"/>
      <c r="BD59" s="500"/>
      <c r="BE59" s="500"/>
      <c r="BF59" s="500"/>
      <c r="BG59" s="500"/>
      <c r="BH59" s="500"/>
      <c r="BI59" s="500"/>
      <c r="BJ59" s="500"/>
      <c r="BK59" s="500"/>
      <c r="BL59" s="500"/>
      <c r="BM59" s="500"/>
      <c r="BN59" s="500"/>
      <c r="BO59" s="500"/>
      <c r="BP59" s="500"/>
      <c r="BQ59" s="500"/>
    </row>
    <row r="60" spans="1:69" ht="15" customHeight="1">
      <c r="A60" s="456"/>
      <c r="B60" s="266"/>
      <c r="C60" s="266"/>
      <c r="D60" s="266"/>
      <c r="E60" s="266"/>
      <c r="F60" s="266"/>
      <c r="G60" s="758"/>
      <c r="H60" s="758"/>
      <c r="I60" s="758"/>
      <c r="J60" s="758"/>
      <c r="K60" s="758"/>
      <c r="L60" s="758"/>
      <c r="M60" s="758"/>
      <c r="N60" s="758"/>
      <c r="O60" s="758"/>
      <c r="P60" s="758"/>
      <c r="Q60" s="758"/>
      <c r="R60" s="626"/>
      <c r="S60" s="626"/>
      <c r="T60" s="626"/>
      <c r="U60" s="627"/>
      <c r="V60" s="499"/>
      <c r="W60" s="499"/>
      <c r="X60" s="499"/>
      <c r="Y60" s="499"/>
      <c r="Z60" s="499"/>
      <c r="AA60" s="499"/>
      <c r="AB60" s="499"/>
      <c r="AC60" s="499"/>
      <c r="AD60" s="499"/>
      <c r="AE60" s="499"/>
      <c r="AF60" s="499"/>
      <c r="AG60" s="499"/>
      <c r="AH60" s="499"/>
      <c r="AI60" s="499"/>
      <c r="AJ60" s="499"/>
      <c r="AK60" s="500"/>
      <c r="AL60" s="500"/>
      <c r="AM60" s="500"/>
      <c r="AN60" s="500"/>
      <c r="AO60" s="500"/>
      <c r="AP60" s="500"/>
      <c r="AQ60" s="500"/>
      <c r="AR60" s="500"/>
      <c r="AS60" s="500"/>
      <c r="AT60" s="500"/>
      <c r="AU60" s="500"/>
      <c r="AV60" s="500"/>
      <c r="AW60" s="500"/>
      <c r="AX60" s="500"/>
      <c r="AY60" s="500"/>
      <c r="AZ60" s="500"/>
      <c r="BA60" s="500"/>
      <c r="BB60" s="500"/>
      <c r="BC60" s="500"/>
      <c r="BD60" s="500"/>
      <c r="BE60" s="500"/>
      <c r="BF60" s="500"/>
      <c r="BG60" s="500"/>
      <c r="BH60" s="500"/>
      <c r="BI60" s="500"/>
      <c r="BJ60" s="500"/>
      <c r="BK60" s="500"/>
      <c r="BL60" s="500"/>
      <c r="BM60" s="500"/>
      <c r="BN60" s="500"/>
      <c r="BO60" s="500"/>
      <c r="BP60" s="500"/>
      <c r="BQ60" s="500"/>
    </row>
    <row r="61" spans="1:69" ht="15" customHeight="1">
      <c r="A61" s="456"/>
      <c r="B61" s="266"/>
      <c r="C61" s="266"/>
      <c r="D61" s="266"/>
      <c r="E61" s="266"/>
      <c r="F61" s="266"/>
      <c r="G61" s="758"/>
      <c r="H61" s="758"/>
      <c r="I61" s="758"/>
      <c r="J61" s="758"/>
      <c r="K61" s="758"/>
      <c r="L61" s="758"/>
      <c r="M61" s="758"/>
      <c r="N61" s="758"/>
      <c r="O61" s="758"/>
      <c r="P61" s="758"/>
      <c r="Q61" s="758"/>
      <c r="R61" s="626"/>
      <c r="S61" s="626"/>
      <c r="T61" s="626"/>
      <c r="U61" s="627"/>
      <c r="V61" s="499"/>
      <c r="W61" s="499"/>
      <c r="X61" s="499"/>
      <c r="Y61" s="499"/>
      <c r="Z61" s="499"/>
      <c r="AA61" s="499"/>
      <c r="AB61" s="499"/>
      <c r="AC61" s="499"/>
      <c r="AD61" s="499"/>
      <c r="AE61" s="499"/>
      <c r="AF61" s="499"/>
      <c r="AG61" s="499"/>
      <c r="AH61" s="499"/>
      <c r="AI61" s="499"/>
      <c r="AJ61" s="499"/>
      <c r="AK61" s="500"/>
      <c r="AL61" s="500"/>
      <c r="AM61" s="500"/>
      <c r="AN61" s="500"/>
      <c r="AO61" s="500"/>
      <c r="AP61" s="500"/>
      <c r="AQ61" s="500"/>
      <c r="AR61" s="500"/>
      <c r="AS61" s="500"/>
      <c r="AT61" s="500"/>
      <c r="AU61" s="500"/>
      <c r="AV61" s="500"/>
      <c r="AW61" s="500"/>
      <c r="AX61" s="500"/>
      <c r="AY61" s="500"/>
      <c r="AZ61" s="500"/>
      <c r="BA61" s="500"/>
      <c r="BB61" s="500"/>
      <c r="BC61" s="500"/>
      <c r="BD61" s="500"/>
      <c r="BE61" s="500"/>
      <c r="BF61" s="500"/>
      <c r="BG61" s="500"/>
      <c r="BH61" s="500"/>
      <c r="BI61" s="500"/>
      <c r="BJ61" s="500"/>
      <c r="BK61" s="500"/>
      <c r="BL61" s="500"/>
      <c r="BM61" s="500"/>
      <c r="BN61" s="500"/>
      <c r="BO61" s="500"/>
      <c r="BP61" s="500"/>
      <c r="BQ61" s="500"/>
    </row>
    <row r="62" spans="1:69" ht="15" customHeight="1">
      <c r="A62" s="456"/>
      <c r="B62" s="266"/>
      <c r="C62" s="266"/>
      <c r="D62" s="266"/>
      <c r="E62" s="266"/>
      <c r="F62" s="266"/>
      <c r="G62" s="758"/>
      <c r="H62" s="758"/>
      <c r="I62" s="758"/>
      <c r="J62" s="758"/>
      <c r="K62" s="758"/>
      <c r="L62" s="758"/>
      <c r="M62" s="758"/>
      <c r="N62" s="758"/>
      <c r="O62" s="758"/>
      <c r="P62" s="758"/>
      <c r="Q62" s="758"/>
      <c r="R62" s="626"/>
      <c r="S62" s="626"/>
      <c r="T62" s="626"/>
      <c r="U62" s="586"/>
      <c r="V62" s="499"/>
      <c r="W62" s="499"/>
      <c r="X62" s="499"/>
      <c r="Y62" s="499"/>
      <c r="Z62" s="499"/>
      <c r="AA62" s="499"/>
      <c r="AB62" s="499"/>
      <c r="AC62" s="499"/>
      <c r="AD62" s="499"/>
      <c r="AE62" s="499"/>
      <c r="AF62" s="499"/>
      <c r="AG62" s="499"/>
      <c r="AH62" s="499"/>
      <c r="AI62" s="499"/>
      <c r="AJ62" s="499"/>
      <c r="AK62" s="500"/>
      <c r="AL62" s="500"/>
      <c r="AM62" s="500"/>
      <c r="AN62" s="500"/>
      <c r="AO62" s="500"/>
      <c r="AP62" s="500"/>
      <c r="AQ62" s="500"/>
      <c r="AR62" s="500"/>
      <c r="AS62" s="500"/>
      <c r="AT62" s="500"/>
      <c r="AU62" s="500"/>
      <c r="AV62" s="500"/>
      <c r="AW62" s="500"/>
      <c r="AX62" s="500"/>
      <c r="AY62" s="500"/>
      <c r="AZ62" s="500"/>
      <c r="BA62" s="500"/>
      <c r="BB62" s="500"/>
      <c r="BC62" s="500"/>
      <c r="BD62" s="500"/>
      <c r="BE62" s="500"/>
      <c r="BF62" s="500"/>
      <c r="BG62" s="500"/>
      <c r="BH62" s="500"/>
      <c r="BI62" s="500"/>
      <c r="BJ62" s="500"/>
      <c r="BK62" s="500"/>
      <c r="BL62" s="500"/>
      <c r="BM62" s="500"/>
      <c r="BN62" s="500"/>
      <c r="BO62" s="500"/>
      <c r="BP62" s="500"/>
      <c r="BQ62" s="500"/>
    </row>
    <row r="63" spans="1:69" ht="15" customHeight="1">
      <c r="A63" s="456"/>
      <c r="B63" s="266"/>
      <c r="C63" s="266"/>
      <c r="D63" s="266"/>
      <c r="E63" s="266"/>
      <c r="F63" s="266"/>
      <c r="G63" s="449"/>
      <c r="H63" s="449"/>
      <c r="I63" s="449"/>
      <c r="J63" s="449"/>
      <c r="K63" s="449"/>
      <c r="L63" s="449"/>
      <c r="M63" s="449"/>
      <c r="N63" s="449"/>
      <c r="O63" s="449"/>
      <c r="P63" s="449"/>
      <c r="Q63" s="449"/>
      <c r="R63" s="626"/>
      <c r="S63" s="626"/>
      <c r="T63" s="626"/>
      <c r="U63" s="586"/>
      <c r="V63" s="499"/>
      <c r="W63" s="499"/>
      <c r="X63" s="499"/>
      <c r="Y63" s="499"/>
      <c r="Z63" s="499"/>
      <c r="AA63" s="522"/>
      <c r="AB63" s="499"/>
      <c r="AC63" s="631"/>
      <c r="AD63" s="499"/>
      <c r="AE63" s="499"/>
      <c r="AF63" s="499"/>
      <c r="AG63" s="499"/>
      <c r="AH63" s="499"/>
      <c r="AI63" s="499"/>
      <c r="AJ63" s="499"/>
      <c r="AK63" s="499"/>
      <c r="AL63" s="499"/>
      <c r="AM63" s="499"/>
      <c r="AN63" s="500"/>
      <c r="AO63" s="500"/>
      <c r="AP63" s="500"/>
      <c r="AQ63" s="500"/>
      <c r="AR63" s="500"/>
      <c r="AS63" s="500"/>
      <c r="AT63" s="500"/>
      <c r="AU63" s="500"/>
      <c r="AV63" s="500"/>
      <c r="AW63" s="500"/>
      <c r="AX63" s="500"/>
      <c r="AY63" s="500"/>
      <c r="AZ63" s="500"/>
      <c r="BA63" s="500"/>
      <c r="BB63" s="500"/>
      <c r="BC63" s="500"/>
      <c r="BD63" s="500"/>
      <c r="BE63" s="500"/>
      <c r="BF63" s="500"/>
      <c r="BG63" s="500"/>
      <c r="BH63" s="500"/>
      <c r="BI63" s="500"/>
      <c r="BJ63" s="500"/>
      <c r="BK63" s="500"/>
      <c r="BL63" s="500"/>
      <c r="BM63" s="500"/>
      <c r="BN63" s="500"/>
      <c r="BO63" s="500"/>
      <c r="BP63" s="500"/>
      <c r="BQ63" s="500"/>
    </row>
    <row r="64" spans="1:69" ht="15" customHeight="1">
      <c r="A64" s="458"/>
      <c r="B64" s="304"/>
      <c r="C64" s="304"/>
      <c r="D64" s="304"/>
      <c r="E64" s="462"/>
      <c r="F64" s="463"/>
      <c r="G64" s="304"/>
      <c r="H64" s="304"/>
      <c r="I64" s="304"/>
      <c r="J64" s="304"/>
      <c r="K64" s="304"/>
      <c r="L64" s="304"/>
      <c r="M64" s="304"/>
      <c r="N64" s="304"/>
      <c r="O64" s="464"/>
      <c r="P64" s="464"/>
      <c r="Q64" s="464"/>
      <c r="R64" s="632"/>
      <c r="S64" s="632"/>
      <c r="T64" s="632"/>
      <c r="U64" s="633"/>
      <c r="V64" s="499"/>
      <c r="W64" s="500"/>
      <c r="X64" s="499"/>
      <c r="Y64" s="499"/>
      <c r="Z64" s="499"/>
      <c r="AA64" s="522"/>
      <c r="AB64" s="499"/>
      <c r="AC64" s="631"/>
      <c r="AD64" s="499"/>
      <c r="AE64" s="499"/>
      <c r="AF64" s="499"/>
      <c r="AG64" s="499"/>
      <c r="AH64" s="499"/>
      <c r="AI64" s="499"/>
      <c r="AJ64" s="499"/>
      <c r="AK64" s="499"/>
      <c r="AL64" s="499"/>
      <c r="AM64" s="499"/>
      <c r="AN64" s="500"/>
      <c r="AO64" s="500"/>
      <c r="AP64" s="500"/>
      <c r="AQ64" s="500"/>
      <c r="AR64" s="500"/>
      <c r="AS64" s="500"/>
      <c r="AT64" s="500"/>
      <c r="AU64" s="500"/>
      <c r="AV64" s="500"/>
      <c r="AW64" s="500"/>
      <c r="AX64" s="500"/>
      <c r="AY64" s="500"/>
      <c r="AZ64" s="500"/>
      <c r="BA64" s="500"/>
      <c r="BB64" s="500"/>
      <c r="BC64" s="500"/>
      <c r="BD64" s="500"/>
      <c r="BE64" s="500"/>
      <c r="BF64" s="500"/>
      <c r="BG64" s="500"/>
      <c r="BH64" s="500"/>
      <c r="BI64" s="500"/>
      <c r="BJ64" s="500"/>
      <c r="BK64" s="500"/>
      <c r="BL64" s="500"/>
      <c r="BM64" s="500"/>
      <c r="BN64" s="500"/>
      <c r="BO64" s="500"/>
      <c r="BP64" s="500"/>
      <c r="BQ64" s="500"/>
    </row>
    <row r="65" spans="2:69" ht="15" customHeight="1">
      <c r="B65" s="266"/>
      <c r="C65" s="282"/>
      <c r="D65" s="266"/>
      <c r="E65" s="283"/>
      <c r="F65" s="294"/>
      <c r="G65" s="266"/>
      <c r="H65" s="266"/>
      <c r="I65" s="266"/>
      <c r="J65" s="266"/>
      <c r="K65" s="266"/>
      <c r="L65" s="266"/>
      <c r="M65" s="266"/>
      <c r="N65" s="266"/>
      <c r="O65" s="291"/>
      <c r="P65" s="291"/>
      <c r="Q65" s="291"/>
      <c r="R65" s="275"/>
      <c r="S65" s="275"/>
      <c r="T65" s="275"/>
      <c r="U65" s="275"/>
      <c r="V65" s="499"/>
      <c r="W65" s="500"/>
      <c r="X65" s="499"/>
      <c r="Y65" s="500"/>
      <c r="Z65" s="500"/>
      <c r="AA65" s="500"/>
      <c r="AB65" s="500"/>
      <c r="AC65" s="500"/>
      <c r="AD65" s="500"/>
      <c r="AE65" s="500"/>
      <c r="AF65" s="500"/>
      <c r="AG65" s="500"/>
      <c r="AH65" s="500"/>
      <c r="AI65" s="500"/>
      <c r="AJ65" s="500"/>
      <c r="AK65" s="500"/>
      <c r="AL65" s="500"/>
      <c r="AM65" s="500"/>
      <c r="AN65" s="500"/>
      <c r="AO65" s="500"/>
      <c r="AP65" s="500"/>
      <c r="AQ65" s="500"/>
      <c r="AR65" s="500"/>
      <c r="AS65" s="500"/>
      <c r="AT65" s="500"/>
      <c r="AU65" s="500"/>
      <c r="AV65" s="500"/>
      <c r="AW65" s="500"/>
      <c r="AX65" s="500"/>
      <c r="AY65" s="500"/>
      <c r="AZ65" s="500"/>
      <c r="BA65" s="500"/>
      <c r="BB65" s="500"/>
      <c r="BC65" s="500"/>
      <c r="BD65" s="500"/>
      <c r="BE65" s="500"/>
      <c r="BF65" s="500"/>
      <c r="BG65" s="500"/>
      <c r="BH65" s="500"/>
      <c r="BI65" s="500"/>
      <c r="BJ65" s="500"/>
      <c r="BK65" s="500"/>
      <c r="BL65" s="500"/>
      <c r="BM65" s="500"/>
      <c r="BN65" s="500"/>
      <c r="BO65" s="500"/>
      <c r="BP65" s="500"/>
      <c r="BQ65" s="500"/>
    </row>
    <row r="66" spans="2:69" ht="15" customHeight="1">
      <c r="B66" s="266"/>
      <c r="C66" s="282"/>
      <c r="D66" s="266"/>
      <c r="E66" s="283"/>
      <c r="F66" s="294"/>
      <c r="G66" s="266"/>
      <c r="H66" s="298"/>
      <c r="I66" s="285"/>
      <c r="J66" s="266"/>
      <c r="K66" s="291"/>
      <c r="L66" s="291"/>
      <c r="M66" s="291"/>
      <c r="N66" s="291"/>
      <c r="O66" s="291"/>
      <c r="P66" s="291"/>
      <c r="Q66" s="291"/>
      <c r="R66" s="275"/>
      <c r="S66" s="275"/>
      <c r="T66" s="275"/>
      <c r="U66" s="275"/>
      <c r="V66" s="499"/>
      <c r="W66" s="500"/>
      <c r="X66" s="499"/>
      <c r="Y66" s="500"/>
      <c r="Z66" s="500"/>
      <c r="AA66" s="500"/>
      <c r="AB66" s="500"/>
      <c r="AC66" s="500"/>
      <c r="AD66" s="500"/>
      <c r="AE66" s="500"/>
      <c r="AF66" s="500"/>
      <c r="AG66" s="500"/>
      <c r="AH66" s="500"/>
      <c r="AI66" s="500"/>
      <c r="AJ66" s="500"/>
      <c r="AK66" s="500"/>
      <c r="AL66" s="500"/>
      <c r="AM66" s="500"/>
      <c r="AN66" s="500"/>
      <c r="AO66" s="500"/>
      <c r="AP66" s="500"/>
      <c r="AQ66" s="500"/>
      <c r="AR66" s="500"/>
      <c r="AS66" s="500"/>
      <c r="AT66" s="500"/>
      <c r="AU66" s="500"/>
      <c r="AV66" s="500"/>
      <c r="AW66" s="500"/>
      <c r="AX66" s="500"/>
      <c r="AY66" s="500"/>
      <c r="AZ66" s="500"/>
      <c r="BA66" s="500"/>
      <c r="BB66" s="500"/>
      <c r="BC66" s="500"/>
      <c r="BD66" s="500"/>
      <c r="BE66" s="500"/>
      <c r="BF66" s="500"/>
      <c r="BG66" s="500"/>
      <c r="BH66" s="500"/>
      <c r="BI66" s="500"/>
      <c r="BJ66" s="500"/>
      <c r="BK66" s="500"/>
      <c r="BL66" s="500"/>
      <c r="BM66" s="500"/>
      <c r="BN66" s="500"/>
      <c r="BO66" s="500"/>
      <c r="BP66" s="500"/>
      <c r="BQ66" s="500"/>
    </row>
    <row r="67" spans="2:69" ht="15" customHeight="1">
      <c r="B67" s="266"/>
      <c r="C67" s="266"/>
      <c r="D67" s="266"/>
      <c r="E67" s="283"/>
      <c r="F67" s="294"/>
      <c r="G67" s="298"/>
      <c r="H67" s="298"/>
      <c r="I67" s="285"/>
      <c r="J67" s="291"/>
      <c r="K67" s="291"/>
      <c r="L67" s="291"/>
      <c r="M67" s="291"/>
      <c r="N67" s="291"/>
      <c r="O67" s="291"/>
      <c r="P67" s="291"/>
      <c r="Q67" s="291"/>
      <c r="R67" s="275"/>
      <c r="S67" s="275"/>
      <c r="T67" s="275"/>
      <c r="U67" s="275"/>
      <c r="V67" s="499"/>
      <c r="W67" s="500"/>
      <c r="X67" s="499"/>
      <c r="Y67" s="500"/>
      <c r="Z67" s="500"/>
      <c r="AA67" s="500"/>
      <c r="AB67" s="500"/>
      <c r="AC67" s="500"/>
      <c r="AD67" s="500"/>
      <c r="AE67" s="500"/>
      <c r="AF67" s="500"/>
      <c r="AG67" s="500"/>
      <c r="AH67" s="500"/>
      <c r="AI67" s="500"/>
      <c r="AJ67" s="500"/>
      <c r="AK67" s="500"/>
      <c r="AL67" s="500"/>
      <c r="AM67" s="500"/>
      <c r="AN67" s="500"/>
      <c r="AO67" s="500"/>
      <c r="AP67" s="500"/>
      <c r="AQ67" s="500"/>
      <c r="AR67" s="500"/>
      <c r="AS67" s="500"/>
      <c r="AT67" s="500"/>
      <c r="AU67" s="500"/>
      <c r="AV67" s="500"/>
      <c r="AW67" s="500"/>
      <c r="AX67" s="500"/>
      <c r="AY67" s="500"/>
      <c r="AZ67" s="500"/>
      <c r="BA67" s="500"/>
      <c r="BB67" s="500"/>
      <c r="BC67" s="500"/>
      <c r="BD67" s="500"/>
      <c r="BE67" s="500"/>
      <c r="BF67" s="500"/>
      <c r="BG67" s="500"/>
      <c r="BH67" s="500"/>
      <c r="BI67" s="500"/>
      <c r="BJ67" s="500"/>
      <c r="BK67" s="500"/>
      <c r="BL67" s="500"/>
      <c r="BM67" s="500"/>
      <c r="BN67" s="500"/>
      <c r="BO67" s="500"/>
      <c r="BP67" s="500"/>
      <c r="BQ67" s="500"/>
    </row>
    <row r="68" spans="2:69" ht="15" customHeight="1">
      <c r="B68" s="266"/>
      <c r="C68" s="266"/>
      <c r="D68" s="266"/>
      <c r="E68" s="266"/>
      <c r="F68" s="266"/>
      <c r="G68" s="266"/>
      <c r="H68" s="266"/>
      <c r="I68" s="266"/>
      <c r="J68" s="266"/>
      <c r="K68" s="266"/>
      <c r="L68" s="266"/>
      <c r="M68" s="266"/>
      <c r="N68" s="266"/>
      <c r="O68" s="266"/>
      <c r="P68" s="266"/>
      <c r="Q68" s="266"/>
      <c r="R68" s="499"/>
      <c r="S68" s="499"/>
      <c r="T68" s="499"/>
      <c r="U68" s="499"/>
      <c r="V68" s="499"/>
      <c r="W68" s="500"/>
      <c r="X68" s="499"/>
      <c r="Y68" s="500"/>
      <c r="Z68" s="500"/>
      <c r="AA68" s="500"/>
      <c r="AB68" s="500"/>
      <c r="AC68" s="500"/>
      <c r="AD68" s="500"/>
      <c r="AE68" s="500"/>
      <c r="AF68" s="500"/>
      <c r="AG68" s="500"/>
      <c r="AH68" s="500"/>
      <c r="AI68" s="500"/>
      <c r="AJ68" s="500"/>
      <c r="AK68" s="500"/>
      <c r="AL68" s="500"/>
      <c r="AM68" s="500"/>
      <c r="AN68" s="500"/>
      <c r="AO68" s="500"/>
      <c r="AP68" s="500"/>
      <c r="AQ68" s="500"/>
      <c r="AR68" s="500"/>
      <c r="AS68" s="500"/>
      <c r="AT68" s="500"/>
      <c r="AU68" s="500"/>
      <c r="AV68" s="500"/>
      <c r="AW68" s="500"/>
      <c r="AX68" s="500"/>
      <c r="AY68" s="500"/>
      <c r="AZ68" s="500"/>
      <c r="BA68" s="500"/>
      <c r="BB68" s="500"/>
      <c r="BC68" s="500"/>
      <c r="BD68" s="500"/>
      <c r="BE68" s="500"/>
      <c r="BF68" s="500"/>
      <c r="BG68" s="500"/>
      <c r="BH68" s="500"/>
      <c r="BI68" s="500"/>
      <c r="BJ68" s="500"/>
      <c r="BK68" s="500"/>
      <c r="BL68" s="500"/>
      <c r="BM68" s="500"/>
      <c r="BN68" s="500"/>
      <c r="BO68" s="500"/>
      <c r="BP68" s="500"/>
      <c r="BQ68" s="500"/>
    </row>
    <row r="69" spans="2:69" ht="15" customHeight="1">
      <c r="B69" s="266"/>
      <c r="C69" s="266"/>
      <c r="D69" s="266"/>
      <c r="E69" s="266"/>
      <c r="F69" s="266"/>
      <c r="G69" s="266"/>
      <c r="H69" s="266"/>
      <c r="I69" s="266"/>
      <c r="J69" s="266"/>
      <c r="K69" s="266"/>
      <c r="L69" s="266"/>
      <c r="M69" s="266"/>
      <c r="N69" s="266"/>
      <c r="O69" s="266"/>
      <c r="P69" s="266"/>
      <c r="Q69" s="266"/>
      <c r="R69" s="499"/>
      <c r="S69" s="499"/>
      <c r="T69" s="499"/>
      <c r="U69" s="499"/>
      <c r="V69" s="499"/>
      <c r="W69" s="500"/>
      <c r="X69" s="499"/>
      <c r="Y69" s="499"/>
      <c r="Z69" s="499"/>
      <c r="AA69" s="522"/>
      <c r="AB69" s="499"/>
      <c r="AC69" s="499"/>
      <c r="AD69" s="499"/>
      <c r="AE69" s="499"/>
      <c r="AF69" s="499"/>
      <c r="AG69" s="499"/>
      <c r="AH69" s="499"/>
      <c r="AI69" s="499"/>
      <c r="AJ69" s="499"/>
      <c r="AK69" s="499"/>
      <c r="AL69" s="499"/>
      <c r="AM69" s="499"/>
      <c r="AN69" s="500"/>
      <c r="AO69" s="500"/>
      <c r="AP69" s="500"/>
      <c r="AQ69" s="500"/>
      <c r="AR69" s="500"/>
      <c r="AS69" s="500"/>
      <c r="AT69" s="500"/>
      <c r="AU69" s="500"/>
      <c r="AV69" s="500"/>
      <c r="AW69" s="500"/>
      <c r="AX69" s="500"/>
      <c r="AY69" s="500"/>
      <c r="AZ69" s="500"/>
      <c r="BA69" s="500"/>
      <c r="BB69" s="500"/>
      <c r="BC69" s="500"/>
      <c r="BD69" s="500"/>
      <c r="BE69" s="500"/>
      <c r="BF69" s="500"/>
      <c r="BG69" s="500"/>
      <c r="BH69" s="500"/>
      <c r="BI69" s="500"/>
      <c r="BJ69" s="500"/>
      <c r="BK69" s="500"/>
      <c r="BL69" s="500"/>
      <c r="BM69" s="500"/>
      <c r="BN69" s="500"/>
      <c r="BO69" s="500"/>
      <c r="BP69" s="500"/>
      <c r="BQ69" s="500"/>
    </row>
    <row r="70" spans="2:69" ht="15" customHeight="1">
      <c r="B70" s="266"/>
      <c r="C70" s="266"/>
      <c r="D70" s="266"/>
      <c r="E70" s="266"/>
      <c r="F70" s="266"/>
      <c r="G70" s="266"/>
      <c r="H70" s="266"/>
      <c r="I70" s="266"/>
      <c r="J70" s="266"/>
      <c r="K70" s="266"/>
      <c r="L70" s="266"/>
      <c r="M70" s="266"/>
      <c r="N70" s="266"/>
      <c r="O70" s="266"/>
      <c r="P70" s="266"/>
      <c r="Q70" s="266"/>
      <c r="R70" s="499"/>
      <c r="S70" s="499"/>
      <c r="T70" s="499"/>
      <c r="U70" s="499"/>
      <c r="V70" s="499"/>
      <c r="W70" s="500"/>
      <c r="X70" s="499"/>
      <c r="Y70" s="499"/>
      <c r="Z70" s="499"/>
      <c r="AA70" s="499"/>
      <c r="AB70" s="499"/>
      <c r="AC70" s="499"/>
      <c r="AD70" s="499"/>
      <c r="AE70" s="499"/>
      <c r="AF70" s="499"/>
      <c r="AG70" s="499"/>
      <c r="AH70" s="499"/>
      <c r="AI70" s="499"/>
      <c r="AJ70" s="499"/>
      <c r="AK70" s="499"/>
      <c r="AL70" s="499"/>
      <c r="AM70" s="499"/>
      <c r="AN70" s="500"/>
      <c r="AO70" s="500"/>
      <c r="AP70" s="500"/>
      <c r="AQ70" s="500"/>
      <c r="AR70" s="500"/>
      <c r="AS70" s="500"/>
      <c r="AT70" s="500"/>
      <c r="AU70" s="500"/>
      <c r="AV70" s="500"/>
      <c r="AW70" s="500"/>
      <c r="AX70" s="500"/>
      <c r="AY70" s="500"/>
      <c r="AZ70" s="500"/>
      <c r="BA70" s="500"/>
      <c r="BB70" s="500"/>
      <c r="BC70" s="500"/>
      <c r="BD70" s="500"/>
      <c r="BE70" s="500"/>
      <c r="BF70" s="500"/>
      <c r="BG70" s="500"/>
      <c r="BH70" s="500"/>
      <c r="BI70" s="500"/>
      <c r="BJ70" s="500"/>
      <c r="BK70" s="500"/>
      <c r="BL70" s="500"/>
      <c r="BM70" s="500"/>
      <c r="BN70" s="500"/>
      <c r="BO70" s="500"/>
      <c r="BP70" s="500"/>
      <c r="BQ70" s="500"/>
    </row>
    <row r="71" spans="2:69" ht="15" customHeight="1">
      <c r="B71" s="266"/>
      <c r="C71" s="266"/>
      <c r="D71" s="266"/>
      <c r="E71" s="266"/>
      <c r="F71" s="266"/>
      <c r="G71" s="266"/>
      <c r="H71" s="266"/>
      <c r="I71" s="266"/>
      <c r="J71" s="266"/>
      <c r="K71" s="266"/>
      <c r="L71" s="266"/>
      <c r="M71" s="266"/>
      <c r="N71" s="266"/>
      <c r="O71" s="266"/>
      <c r="P71" s="266"/>
      <c r="Q71" s="266"/>
      <c r="R71" s="499"/>
      <c r="S71" s="499"/>
      <c r="T71" s="499"/>
      <c r="U71" s="499"/>
      <c r="V71" s="499"/>
      <c r="W71" s="500"/>
      <c r="X71" s="499"/>
      <c r="Y71" s="499"/>
      <c r="Z71" s="499"/>
      <c r="AA71" s="499"/>
      <c r="AB71" s="499"/>
      <c r="AC71" s="499"/>
      <c r="AD71" s="499"/>
      <c r="AE71" s="499"/>
      <c r="AF71" s="499"/>
      <c r="AG71" s="499"/>
      <c r="AH71" s="499"/>
      <c r="AI71" s="499"/>
      <c r="AJ71" s="499"/>
      <c r="AK71" s="499"/>
      <c r="AL71" s="499"/>
      <c r="AM71" s="499"/>
      <c r="AN71" s="500"/>
      <c r="AO71" s="500"/>
      <c r="AP71" s="500"/>
      <c r="AQ71" s="500"/>
      <c r="AR71" s="500"/>
      <c r="AS71" s="500"/>
      <c r="AT71" s="500"/>
      <c r="AU71" s="500"/>
      <c r="AV71" s="500"/>
      <c r="AW71" s="500"/>
      <c r="AX71" s="500"/>
      <c r="AY71" s="500"/>
      <c r="AZ71" s="500"/>
      <c r="BA71" s="500"/>
      <c r="BB71" s="500"/>
      <c r="BC71" s="500"/>
      <c r="BD71" s="500"/>
      <c r="BE71" s="500"/>
      <c r="BF71" s="500"/>
      <c r="BG71" s="500"/>
      <c r="BH71" s="500"/>
      <c r="BI71" s="500"/>
      <c r="BJ71" s="500"/>
      <c r="BK71" s="500"/>
      <c r="BL71" s="500"/>
      <c r="BM71" s="500"/>
      <c r="BN71" s="500"/>
      <c r="BO71" s="500"/>
      <c r="BP71" s="500"/>
      <c r="BQ71" s="500"/>
    </row>
    <row r="72" spans="2:69" ht="15" customHeight="1">
      <c r="B72" s="266"/>
      <c r="C72" s="266"/>
      <c r="D72" s="266"/>
      <c r="E72" s="266"/>
      <c r="F72" s="266"/>
      <c r="G72" s="266"/>
      <c r="H72" s="266"/>
      <c r="I72" s="266"/>
      <c r="J72" s="266"/>
      <c r="K72" s="266"/>
      <c r="L72" s="266"/>
      <c r="M72" s="266"/>
      <c r="N72" s="266"/>
      <c r="O72" s="266"/>
      <c r="P72" s="266"/>
      <c r="Q72" s="266"/>
      <c r="R72" s="499"/>
      <c r="S72" s="499"/>
      <c r="T72" s="499"/>
      <c r="U72" s="499"/>
      <c r="V72" s="499"/>
      <c r="W72" s="500"/>
      <c r="X72" s="499"/>
      <c r="Y72" s="499"/>
      <c r="Z72" s="499"/>
      <c r="AA72" s="499"/>
      <c r="AB72" s="499"/>
      <c r="AC72" s="499"/>
      <c r="AD72" s="499"/>
      <c r="AE72" s="499"/>
      <c r="AF72" s="499"/>
      <c r="AG72" s="499"/>
      <c r="AH72" s="499"/>
      <c r="AI72" s="499"/>
      <c r="AJ72" s="499"/>
      <c r="AK72" s="499"/>
      <c r="AL72" s="499"/>
      <c r="AM72" s="499"/>
      <c r="AN72" s="500"/>
      <c r="AO72" s="500"/>
      <c r="AP72" s="500"/>
      <c r="AQ72" s="500"/>
      <c r="AR72" s="500"/>
      <c r="AS72" s="500"/>
      <c r="AT72" s="500"/>
      <c r="AU72" s="500"/>
      <c r="AV72" s="500"/>
      <c r="AW72" s="500"/>
      <c r="AX72" s="500"/>
      <c r="AY72" s="500"/>
      <c r="AZ72" s="500"/>
      <c r="BA72" s="500"/>
      <c r="BB72" s="500"/>
      <c r="BC72" s="500"/>
      <c r="BD72" s="500"/>
      <c r="BE72" s="500"/>
      <c r="BF72" s="500"/>
      <c r="BG72" s="500"/>
      <c r="BH72" s="500"/>
      <c r="BI72" s="500"/>
      <c r="BJ72" s="500"/>
      <c r="BK72" s="500"/>
      <c r="BL72" s="500"/>
      <c r="BM72" s="500"/>
      <c r="BN72" s="500"/>
      <c r="BO72" s="500"/>
      <c r="BP72" s="500"/>
      <c r="BQ72" s="500"/>
    </row>
    <row r="73" spans="2:69" ht="15" customHeight="1">
      <c r="B73" s="266"/>
      <c r="C73" s="266"/>
      <c r="D73" s="266"/>
      <c r="E73" s="266"/>
      <c r="F73" s="266"/>
      <c r="G73" s="266"/>
      <c r="H73" s="266"/>
      <c r="I73" s="266"/>
      <c r="J73" s="266"/>
      <c r="K73" s="266"/>
      <c r="L73" s="266"/>
      <c r="M73" s="266"/>
      <c r="N73" s="266"/>
      <c r="O73" s="266"/>
      <c r="P73" s="266"/>
      <c r="Q73" s="266"/>
      <c r="R73" s="499"/>
      <c r="S73" s="499"/>
      <c r="T73" s="499"/>
      <c r="U73" s="499"/>
      <c r="V73" s="499"/>
      <c r="W73" s="500"/>
      <c r="X73" s="499"/>
      <c r="Y73" s="499"/>
      <c r="Z73" s="499"/>
      <c r="AA73" s="499"/>
      <c r="AB73" s="499"/>
      <c r="AC73" s="499"/>
      <c r="AD73" s="499"/>
      <c r="AE73" s="499"/>
      <c r="AF73" s="499"/>
      <c r="AG73" s="499"/>
      <c r="AH73" s="499"/>
      <c r="AI73" s="499"/>
      <c r="AJ73" s="499"/>
      <c r="AK73" s="499"/>
      <c r="AL73" s="499"/>
      <c r="AM73" s="499"/>
      <c r="AN73" s="500"/>
      <c r="AO73" s="500"/>
      <c r="AP73" s="500"/>
      <c r="AQ73" s="500"/>
      <c r="AR73" s="500"/>
      <c r="AS73" s="500"/>
      <c r="AT73" s="500"/>
      <c r="AU73" s="500"/>
      <c r="AV73" s="500"/>
      <c r="AW73" s="500"/>
      <c r="AX73" s="500"/>
      <c r="AY73" s="500"/>
      <c r="AZ73" s="500"/>
      <c r="BA73" s="500"/>
      <c r="BB73" s="500"/>
      <c r="BC73" s="500"/>
      <c r="BD73" s="500"/>
      <c r="BE73" s="500"/>
      <c r="BF73" s="500"/>
      <c r="BG73" s="500"/>
      <c r="BH73" s="500"/>
      <c r="BI73" s="500"/>
      <c r="BJ73" s="500"/>
      <c r="BK73" s="500"/>
      <c r="BL73" s="500"/>
      <c r="BM73" s="500"/>
      <c r="BN73" s="500"/>
      <c r="BO73" s="500"/>
      <c r="BP73" s="500"/>
      <c r="BQ73" s="500"/>
    </row>
    <row r="74" spans="2:69" ht="15" customHeight="1">
      <c r="B74" s="266"/>
      <c r="C74" s="266"/>
      <c r="D74" s="266"/>
      <c r="E74" s="266"/>
      <c r="F74" s="266"/>
      <c r="G74" s="266"/>
      <c r="H74" s="266"/>
      <c r="I74" s="266"/>
      <c r="J74" s="266"/>
      <c r="K74" s="266"/>
      <c r="L74" s="266"/>
      <c r="M74" s="266"/>
      <c r="N74" s="266"/>
      <c r="O74" s="266"/>
      <c r="P74" s="266"/>
      <c r="Q74" s="266"/>
      <c r="R74" s="499"/>
      <c r="S74" s="499"/>
      <c r="T74" s="499"/>
      <c r="U74" s="499"/>
      <c r="V74" s="499"/>
      <c r="W74" s="500"/>
      <c r="X74" s="499"/>
      <c r="Y74" s="499"/>
      <c r="Z74" s="499"/>
      <c r="AA74" s="499"/>
      <c r="AB74" s="499"/>
      <c r="AC74" s="275"/>
      <c r="AD74" s="499"/>
      <c r="AE74" s="499"/>
      <c r="AF74" s="499"/>
      <c r="AG74" s="499"/>
      <c r="AH74" s="499"/>
      <c r="AI74" s="499"/>
      <c r="AJ74" s="499"/>
      <c r="AK74" s="499"/>
      <c r="AL74" s="499"/>
      <c r="AM74" s="499"/>
      <c r="AN74" s="500"/>
      <c r="AO74" s="500"/>
      <c r="AP74" s="500"/>
      <c r="AQ74" s="500"/>
      <c r="AR74" s="500"/>
      <c r="AS74" s="500"/>
      <c r="AT74" s="500"/>
      <c r="AU74" s="500"/>
      <c r="AV74" s="500"/>
      <c r="AW74" s="500"/>
      <c r="AX74" s="500"/>
      <c r="AY74" s="500"/>
      <c r="AZ74" s="500"/>
      <c r="BA74" s="500"/>
      <c r="BB74" s="500"/>
      <c r="BC74" s="500"/>
      <c r="BD74" s="500"/>
      <c r="BE74" s="500"/>
      <c r="BF74" s="500"/>
      <c r="BG74" s="500"/>
      <c r="BH74" s="500"/>
      <c r="BI74" s="500"/>
      <c r="BJ74" s="500"/>
      <c r="BK74" s="500"/>
      <c r="BL74" s="500"/>
      <c r="BM74" s="500"/>
      <c r="BN74" s="500"/>
      <c r="BO74" s="500"/>
      <c r="BP74" s="500"/>
      <c r="BQ74" s="500"/>
    </row>
    <row r="75" spans="2:69" ht="15" customHeight="1">
      <c r="B75" s="266"/>
      <c r="C75" s="266"/>
      <c r="D75" s="266"/>
      <c r="E75" s="266"/>
      <c r="F75" s="266"/>
      <c r="G75" s="266"/>
      <c r="H75" s="266"/>
      <c r="I75" s="266"/>
      <c r="J75" s="266"/>
      <c r="K75" s="266"/>
      <c r="L75" s="266"/>
      <c r="M75" s="266"/>
      <c r="N75" s="266"/>
      <c r="O75" s="266"/>
      <c r="P75" s="266"/>
      <c r="Q75" s="266"/>
      <c r="R75" s="499"/>
      <c r="S75" s="499"/>
      <c r="T75" s="499"/>
      <c r="U75" s="499"/>
      <c r="V75" s="499"/>
      <c r="W75" s="500"/>
      <c r="X75" s="499"/>
      <c r="Y75" s="499"/>
      <c r="Z75" s="499"/>
      <c r="AA75" s="499"/>
      <c r="AB75" s="499"/>
      <c r="AC75" s="499"/>
      <c r="AD75" s="499"/>
      <c r="AE75" s="499"/>
      <c r="AF75" s="499"/>
      <c r="AG75" s="499"/>
      <c r="AH75" s="499"/>
      <c r="AI75" s="499"/>
      <c r="AJ75" s="499"/>
      <c r="AK75" s="499"/>
      <c r="AL75" s="499"/>
      <c r="AM75" s="499"/>
      <c r="AN75" s="500"/>
      <c r="AO75" s="500"/>
      <c r="AP75" s="500"/>
      <c r="AQ75" s="500"/>
      <c r="AR75" s="500"/>
      <c r="AS75" s="500"/>
      <c r="AT75" s="500"/>
      <c r="AU75" s="500"/>
      <c r="AV75" s="500"/>
      <c r="AW75" s="500"/>
      <c r="AX75" s="500"/>
      <c r="AY75" s="500"/>
      <c r="AZ75" s="500"/>
      <c r="BA75" s="500"/>
      <c r="BB75" s="500"/>
      <c r="BC75" s="500"/>
      <c r="BD75" s="500"/>
      <c r="BE75" s="500"/>
      <c r="BF75" s="500"/>
      <c r="BG75" s="500"/>
      <c r="BH75" s="500"/>
      <c r="BI75" s="500"/>
      <c r="BJ75" s="500"/>
      <c r="BK75" s="500"/>
      <c r="BL75" s="500"/>
      <c r="BM75" s="500"/>
      <c r="BN75" s="500"/>
      <c r="BO75" s="500"/>
      <c r="BP75" s="500"/>
      <c r="BQ75" s="500"/>
    </row>
    <row r="76" spans="2:69" ht="18" customHeight="1">
      <c r="B76" s="266"/>
      <c r="C76" s="266"/>
      <c r="D76" s="266"/>
      <c r="E76" s="266"/>
      <c r="F76" s="266"/>
      <c r="G76" s="266"/>
      <c r="H76" s="266"/>
      <c r="I76" s="266"/>
      <c r="J76" s="266"/>
      <c r="K76" s="266"/>
      <c r="L76" s="266"/>
      <c r="M76" s="266"/>
      <c r="N76" s="266"/>
      <c r="O76" s="266"/>
      <c r="P76" s="266"/>
      <c r="Q76" s="266"/>
      <c r="R76" s="499"/>
      <c r="S76" s="499"/>
      <c r="T76" s="499"/>
      <c r="U76" s="499"/>
      <c r="V76" s="499"/>
      <c r="W76" s="500"/>
      <c r="X76" s="499"/>
      <c r="Y76" s="499"/>
      <c r="Z76" s="499"/>
      <c r="AA76" s="499"/>
      <c r="AB76" s="499"/>
      <c r="AC76" s="499"/>
      <c r="AD76" s="499"/>
      <c r="AE76" s="499"/>
      <c r="AF76" s="499"/>
      <c r="AG76" s="499"/>
      <c r="AH76" s="499"/>
      <c r="AI76" s="499"/>
      <c r="AJ76" s="499"/>
      <c r="AK76" s="499"/>
      <c r="AL76" s="499"/>
      <c r="AM76" s="499"/>
      <c r="AN76" s="500"/>
      <c r="AO76" s="500"/>
      <c r="AP76" s="500"/>
      <c r="AQ76" s="500"/>
      <c r="AR76" s="500"/>
      <c r="AS76" s="500"/>
      <c r="AT76" s="500"/>
      <c r="AU76" s="500"/>
      <c r="AV76" s="500"/>
      <c r="AW76" s="500"/>
      <c r="AX76" s="500"/>
      <c r="AY76" s="500"/>
      <c r="AZ76" s="500"/>
      <c r="BA76" s="500"/>
      <c r="BB76" s="500"/>
      <c r="BC76" s="500"/>
      <c r="BD76" s="500"/>
      <c r="BE76" s="500"/>
      <c r="BF76" s="500"/>
      <c r="BG76" s="500"/>
      <c r="BH76" s="500"/>
      <c r="BI76" s="500"/>
      <c r="BJ76" s="500"/>
      <c r="BK76" s="500"/>
      <c r="BL76" s="500"/>
      <c r="BM76" s="500"/>
      <c r="BN76" s="500"/>
      <c r="BO76" s="500"/>
      <c r="BP76" s="500"/>
      <c r="BQ76" s="500"/>
    </row>
    <row r="77" spans="2:69" ht="18" customHeight="1">
      <c r="B77" s="266"/>
      <c r="C77" s="266"/>
      <c r="D77" s="266"/>
      <c r="E77" s="266"/>
      <c r="F77" s="266"/>
      <c r="G77" s="266"/>
      <c r="H77" s="266"/>
      <c r="I77" s="266"/>
      <c r="J77" s="266"/>
      <c r="K77" s="266"/>
      <c r="L77" s="266"/>
      <c r="M77" s="266"/>
      <c r="N77" s="266"/>
      <c r="O77" s="266"/>
      <c r="P77" s="266"/>
      <c r="Q77" s="266"/>
      <c r="R77" s="499"/>
      <c r="S77" s="499"/>
      <c r="T77" s="499"/>
      <c r="U77" s="499"/>
      <c r="V77" s="499"/>
      <c r="W77" s="500"/>
      <c r="X77" s="499"/>
      <c r="Y77" s="499"/>
      <c r="Z77" s="499"/>
      <c r="AA77" s="499"/>
      <c r="AB77" s="499"/>
      <c r="AC77" s="499"/>
      <c r="AD77" s="499"/>
      <c r="AE77" s="499"/>
      <c r="AF77" s="499"/>
      <c r="AG77" s="499"/>
      <c r="AH77" s="499"/>
      <c r="AI77" s="499"/>
      <c r="AJ77" s="499"/>
      <c r="AK77" s="499"/>
      <c r="AL77" s="499"/>
      <c r="AM77" s="499"/>
      <c r="AN77" s="500"/>
      <c r="AO77" s="500"/>
      <c r="AP77" s="500"/>
      <c r="AQ77" s="500"/>
      <c r="AR77" s="500"/>
      <c r="AS77" s="500"/>
      <c r="AT77" s="500"/>
      <c r="AU77" s="500"/>
      <c r="AV77" s="500"/>
      <c r="AW77" s="500"/>
      <c r="AX77" s="500"/>
      <c r="AY77" s="500"/>
      <c r="AZ77" s="500"/>
      <c r="BA77" s="500"/>
      <c r="BB77" s="500"/>
      <c r="BC77" s="500"/>
      <c r="BD77" s="500"/>
      <c r="BE77" s="500"/>
      <c r="BF77" s="500"/>
      <c r="BG77" s="500"/>
      <c r="BH77" s="500"/>
      <c r="BI77" s="500"/>
      <c r="BJ77" s="500"/>
      <c r="BK77" s="500"/>
      <c r="BL77" s="500"/>
      <c r="BM77" s="500"/>
      <c r="BN77" s="500"/>
      <c r="BO77" s="500"/>
      <c r="BP77" s="500"/>
      <c r="BQ77" s="500"/>
    </row>
    <row r="78" spans="2:69" ht="15" customHeight="1">
      <c r="B78" s="266"/>
      <c r="C78" s="266"/>
      <c r="D78" s="266"/>
      <c r="E78" s="283"/>
      <c r="F78" s="294"/>
      <c r="G78" s="298"/>
      <c r="H78" s="298"/>
      <c r="I78" s="266"/>
      <c r="J78" s="291"/>
      <c r="K78" s="291"/>
      <c r="L78" s="291"/>
      <c r="M78" s="291"/>
      <c r="N78" s="291"/>
      <c r="O78" s="291"/>
      <c r="P78" s="291"/>
      <c r="Q78" s="291"/>
      <c r="R78" s="275"/>
      <c r="S78" s="275"/>
      <c r="T78" s="275"/>
      <c r="U78" s="275"/>
      <c r="V78" s="499"/>
      <c r="W78" s="500"/>
      <c r="X78" s="499"/>
      <c r="Y78" s="499"/>
      <c r="Z78" s="499"/>
      <c r="AA78" s="499"/>
      <c r="AB78" s="499"/>
      <c r="AC78" s="499"/>
      <c r="AD78" s="499"/>
      <c r="AE78" s="499"/>
      <c r="AF78" s="499"/>
      <c r="AG78" s="499"/>
      <c r="AH78" s="499"/>
      <c r="AI78" s="499"/>
      <c r="AJ78" s="499"/>
      <c r="AK78" s="499"/>
      <c r="AL78" s="499"/>
      <c r="AM78" s="499"/>
      <c r="AN78" s="500"/>
      <c r="AO78" s="500"/>
      <c r="AP78" s="500"/>
      <c r="AQ78" s="500"/>
      <c r="AR78" s="500"/>
      <c r="AS78" s="500"/>
      <c r="AT78" s="500"/>
      <c r="AU78" s="500"/>
      <c r="AV78" s="500"/>
      <c r="AW78" s="500"/>
      <c r="AX78" s="500"/>
      <c r="AY78" s="500"/>
      <c r="AZ78" s="500"/>
      <c r="BA78" s="500"/>
      <c r="BB78" s="500"/>
      <c r="BC78" s="500"/>
      <c r="BD78" s="500"/>
      <c r="BE78" s="500"/>
      <c r="BF78" s="500"/>
      <c r="BG78" s="500"/>
      <c r="BH78" s="500"/>
      <c r="BI78" s="500"/>
      <c r="BJ78" s="500"/>
      <c r="BK78" s="500"/>
      <c r="BL78" s="500"/>
      <c r="BM78" s="500"/>
      <c r="BN78" s="500"/>
      <c r="BO78" s="500"/>
      <c r="BP78" s="500"/>
      <c r="BQ78" s="500"/>
    </row>
    <row r="79" spans="2:69" ht="15" customHeight="1">
      <c r="R79" s="500"/>
      <c r="S79" s="500"/>
      <c r="T79" s="500"/>
      <c r="U79" s="500"/>
      <c r="V79" s="500"/>
      <c r="W79" s="500"/>
      <c r="X79" s="499"/>
      <c r="Y79" s="499"/>
      <c r="Z79" s="499"/>
      <c r="AA79" s="499"/>
      <c r="AB79" s="499"/>
      <c r="AC79" s="499"/>
      <c r="AD79" s="499"/>
      <c r="AE79" s="499"/>
      <c r="AF79" s="499"/>
      <c r="AG79" s="499"/>
      <c r="AH79" s="499"/>
      <c r="AI79" s="499"/>
      <c r="AJ79" s="499"/>
      <c r="AK79" s="499"/>
      <c r="AL79" s="499"/>
      <c r="AM79" s="499"/>
      <c r="AN79" s="500"/>
      <c r="AO79" s="500"/>
      <c r="AP79" s="500"/>
      <c r="AQ79" s="500"/>
      <c r="AR79" s="500"/>
      <c r="AS79" s="500"/>
      <c r="AT79" s="500"/>
      <c r="AU79" s="500"/>
      <c r="AV79" s="500"/>
      <c r="AW79" s="500"/>
      <c r="AX79" s="500"/>
      <c r="AY79" s="500"/>
      <c r="AZ79" s="500"/>
      <c r="BA79" s="500"/>
      <c r="BB79" s="500"/>
      <c r="BC79" s="500"/>
      <c r="BD79" s="500"/>
      <c r="BE79" s="500"/>
      <c r="BF79" s="500"/>
      <c r="BG79" s="500"/>
      <c r="BH79" s="500"/>
      <c r="BI79" s="500"/>
      <c r="BJ79" s="500"/>
      <c r="BK79" s="500"/>
      <c r="BL79" s="500"/>
      <c r="BM79" s="500"/>
      <c r="BN79" s="500"/>
      <c r="BO79" s="500"/>
      <c r="BP79" s="500"/>
      <c r="BQ79" s="500"/>
    </row>
    <row r="80" spans="2:69">
      <c r="R80" s="500"/>
      <c r="S80" s="500"/>
      <c r="T80" s="500"/>
      <c r="U80" s="500"/>
      <c r="V80" s="500"/>
      <c r="W80" s="500"/>
      <c r="X80" s="499"/>
      <c r="Y80" s="499"/>
      <c r="Z80" s="499"/>
      <c r="AA80" s="499"/>
      <c r="AB80" s="499"/>
      <c r="AC80" s="499"/>
      <c r="AD80" s="499"/>
      <c r="AE80" s="499"/>
      <c r="AF80" s="499"/>
      <c r="AG80" s="499"/>
      <c r="AH80" s="499"/>
      <c r="AI80" s="499"/>
      <c r="AJ80" s="499"/>
      <c r="AK80" s="499"/>
      <c r="AL80" s="499"/>
      <c r="AM80" s="499"/>
      <c r="AN80" s="500"/>
      <c r="AO80" s="500"/>
      <c r="AP80" s="500"/>
      <c r="AQ80" s="500"/>
      <c r="AR80" s="500"/>
      <c r="AS80" s="500"/>
      <c r="AT80" s="500"/>
      <c r="AU80" s="500"/>
      <c r="AV80" s="500"/>
      <c r="AW80" s="500"/>
      <c r="AX80" s="500"/>
      <c r="AY80" s="500"/>
      <c r="AZ80" s="500"/>
      <c r="BA80" s="500"/>
      <c r="BB80" s="500"/>
      <c r="BC80" s="500"/>
      <c r="BD80" s="500"/>
      <c r="BE80" s="500"/>
      <c r="BF80" s="500"/>
      <c r="BG80" s="500"/>
      <c r="BH80" s="500"/>
      <c r="BI80" s="500"/>
      <c r="BJ80" s="500"/>
      <c r="BK80" s="500"/>
      <c r="BL80" s="500"/>
      <c r="BM80" s="500"/>
      <c r="BN80" s="500"/>
      <c r="BO80" s="500"/>
      <c r="BP80" s="500"/>
      <c r="BQ80" s="500"/>
    </row>
    <row r="81" spans="9:69">
      <c r="R81" s="500"/>
      <c r="S81" s="500"/>
      <c r="T81" s="500"/>
      <c r="U81" s="500"/>
      <c r="V81" s="500"/>
      <c r="W81" s="500"/>
      <c r="X81" s="499"/>
      <c r="Y81" s="499"/>
      <c r="Z81" s="499"/>
      <c r="AA81" s="499"/>
      <c r="AB81" s="499"/>
      <c r="AC81" s="499"/>
      <c r="AD81" s="499"/>
      <c r="AE81" s="499"/>
      <c r="AF81" s="499"/>
      <c r="AG81" s="499"/>
      <c r="AH81" s="499"/>
      <c r="AI81" s="499"/>
      <c r="AJ81" s="499"/>
      <c r="AK81" s="499"/>
      <c r="AL81" s="499"/>
      <c r="AM81" s="499"/>
      <c r="AN81" s="500"/>
      <c r="AO81" s="500"/>
      <c r="AP81" s="500"/>
      <c r="AQ81" s="500"/>
      <c r="AR81" s="500"/>
      <c r="AS81" s="500"/>
      <c r="AT81" s="500"/>
      <c r="AU81" s="500"/>
      <c r="AV81" s="500"/>
      <c r="AW81" s="500"/>
      <c r="AX81" s="500"/>
      <c r="AY81" s="500"/>
      <c r="AZ81" s="500"/>
      <c r="BA81" s="500"/>
      <c r="BB81" s="500"/>
      <c r="BC81" s="500"/>
      <c r="BD81" s="500"/>
      <c r="BE81" s="500"/>
      <c r="BF81" s="500"/>
      <c r="BG81" s="500"/>
      <c r="BH81" s="500"/>
      <c r="BI81" s="500"/>
      <c r="BJ81" s="500"/>
      <c r="BK81" s="500"/>
      <c r="BL81" s="500"/>
      <c r="BM81" s="500"/>
      <c r="BN81" s="500"/>
      <c r="BO81" s="500"/>
      <c r="BP81" s="500"/>
      <c r="BQ81" s="500"/>
    </row>
    <row r="82" spans="9:69">
      <c r="I82" s="285"/>
      <c r="K82" s="291"/>
      <c r="L82" s="291"/>
      <c r="M82" s="291"/>
      <c r="X82" s="266"/>
      <c r="Y82" s="266"/>
      <c r="Z82" s="266"/>
      <c r="AA82" s="266"/>
      <c r="AB82" s="266"/>
      <c r="AC82" s="266"/>
      <c r="AD82" s="266"/>
      <c r="AE82" s="266"/>
      <c r="AF82" s="266"/>
      <c r="AG82" s="266"/>
      <c r="AH82" s="266"/>
      <c r="AI82" s="266"/>
      <c r="AJ82" s="266"/>
      <c r="AK82" s="266"/>
      <c r="AL82" s="266"/>
      <c r="AM82" s="266"/>
    </row>
    <row r="83" spans="9:69">
      <c r="I83" s="278"/>
      <c r="K83" s="291"/>
      <c r="L83" s="291"/>
      <c r="M83" s="291"/>
      <c r="X83" s="266"/>
      <c r="Y83" s="266"/>
      <c r="Z83" s="266"/>
      <c r="AA83" s="266"/>
      <c r="AB83" s="266"/>
      <c r="AC83" s="266"/>
      <c r="AD83" s="266"/>
      <c r="AE83" s="266"/>
      <c r="AF83" s="266"/>
      <c r="AG83" s="266"/>
      <c r="AH83" s="266"/>
      <c r="AI83" s="266"/>
      <c r="AJ83" s="266"/>
      <c r="AK83" s="266"/>
      <c r="AL83" s="266"/>
      <c r="AM83" s="266"/>
    </row>
    <row r="84" spans="9:69">
      <c r="I84" s="285"/>
      <c r="K84" s="291"/>
      <c r="L84" s="291"/>
      <c r="M84" s="291"/>
    </row>
    <row r="278" spans="18:21">
      <c r="R278" s="256" t="s">
        <v>150</v>
      </c>
      <c r="S278" s="256"/>
      <c r="T278" s="256" t="s">
        <v>220</v>
      </c>
      <c r="U278" s="266"/>
    </row>
    <row r="279" spans="18:21">
      <c r="R279" s="280" t="e">
        <f>#REF!</f>
        <v>#REF!</v>
      </c>
      <c r="S279" s="280"/>
      <c r="T279" s="305" t="e">
        <f>#REF!</f>
        <v>#REF!</v>
      </c>
      <c r="U279" s="429"/>
    </row>
    <row r="280" spans="18:21">
      <c r="R280" s="289" t="s">
        <v>150</v>
      </c>
      <c r="S280" s="289"/>
      <c r="T280" s="256" t="s">
        <v>220</v>
      </c>
      <c r="U280" s="266"/>
    </row>
    <row r="281" spans="18:21">
      <c r="R281" s="289" t="e">
        <f>#REF!</f>
        <v>#REF!</v>
      </c>
      <c r="S281" s="289"/>
      <c r="T281" s="289" t="e">
        <f>#REF!</f>
        <v>#REF!</v>
      </c>
      <c r="U281" s="315"/>
    </row>
  </sheetData>
  <sheetProtection selectLockedCells="1"/>
  <dataConsolidate/>
  <mergeCells count="46">
    <mergeCell ref="G59:Q62"/>
    <mergeCell ref="B2:C2"/>
    <mergeCell ref="B3:C3"/>
    <mergeCell ref="B4:C4"/>
    <mergeCell ref="B5:C5"/>
    <mergeCell ref="G16:Q16"/>
    <mergeCell ref="H41:K41"/>
    <mergeCell ref="H46:K46"/>
    <mergeCell ref="H47:K47"/>
    <mergeCell ref="AM4:AN4"/>
    <mergeCell ref="N23:P29"/>
    <mergeCell ref="AI44:AI46"/>
    <mergeCell ref="AJ38:AJ40"/>
    <mergeCell ref="L40:N40"/>
    <mergeCell ref="L41:N41"/>
    <mergeCell ref="L42:N42"/>
    <mergeCell ref="Z32:AB32"/>
    <mergeCell ref="AC32:AE32"/>
    <mergeCell ref="AF32:AG32"/>
    <mergeCell ref="L39:N39"/>
    <mergeCell ref="AJ34:AJ36"/>
    <mergeCell ref="AH32:AI32"/>
    <mergeCell ref="BD13:BE13"/>
    <mergeCell ref="G17:Q17"/>
    <mergeCell ref="G18:Q18"/>
    <mergeCell ref="G19:H19"/>
    <mergeCell ref="H40:K40"/>
    <mergeCell ref="G32:H32"/>
    <mergeCell ref="J32:K32"/>
    <mergeCell ref="H39:K39"/>
    <mergeCell ref="AZ15:BA15"/>
    <mergeCell ref="AK53:AL53"/>
    <mergeCell ref="AM53:AN53"/>
    <mergeCell ref="H42:K42"/>
    <mergeCell ref="I56:J56"/>
    <mergeCell ref="L46:N46"/>
    <mergeCell ref="L47:N47"/>
    <mergeCell ref="L54:N54"/>
    <mergeCell ref="L56:N56"/>
    <mergeCell ref="H48:K48"/>
    <mergeCell ref="L48:N48"/>
    <mergeCell ref="L45:N45"/>
    <mergeCell ref="H45:K45"/>
    <mergeCell ref="I54:J54"/>
    <mergeCell ref="L52:N52"/>
    <mergeCell ref="I52:J52"/>
  </mergeCells>
  <phoneticPr fontId="66"/>
  <conditionalFormatting sqref="G40">
    <cfRule type="expression" dxfId="15" priority="6">
      <formula>AND($AW$2&lt;&gt;1,$AW$2&lt;&gt;"")</formula>
    </cfRule>
  </conditionalFormatting>
  <conditionalFormatting sqref="G41">
    <cfRule type="expression" dxfId="14" priority="5">
      <formula>AND($AW$2&lt;&gt;1,$AW$2&lt;&gt;"")</formula>
    </cfRule>
  </conditionalFormatting>
  <conditionalFormatting sqref="G42">
    <cfRule type="expression" dxfId="13" priority="4">
      <formula>AND($AW$2&lt;&gt;1,$AW$2&lt;&gt;"")</formula>
    </cfRule>
  </conditionalFormatting>
  <conditionalFormatting sqref="G46">
    <cfRule type="expression" dxfId="12" priority="3">
      <formula>AND($AX$2&lt;&gt;1,$AX$2&lt;&gt;"")</formula>
    </cfRule>
  </conditionalFormatting>
  <conditionalFormatting sqref="G47">
    <cfRule type="expression" dxfId="11" priority="2">
      <formula>AND($AX$2&lt;&gt;1,$AX$2&lt;&gt;"")</formula>
    </cfRule>
  </conditionalFormatting>
  <conditionalFormatting sqref="G48">
    <cfRule type="expression" dxfId="10" priority="1">
      <formula>AND($AX$2&lt;&gt;1,$AX$2&lt;&gt;"")</formula>
    </cfRule>
  </conditionalFormatting>
  <dataValidations count="10">
    <dataValidation type="list" allowBlank="1" showInputMessage="1" showErrorMessage="1" sqref="G12">
      <formula1>Y2:AF2</formula1>
    </dataValidation>
    <dataValidation type="list" allowBlank="1" showInputMessage="1" showErrorMessage="1" sqref="GV65534 WJJ983034 VZN983034 VPR983034 VFV983034 UVZ983034 UMD983034 UCH983034 TSL983034 TIP983034 SYT983034 SOX983034 SFB983034 RVF983034 RLJ983034 RBN983034 QRR983034 QHV983034 PXZ983034 POD983034 PEH983034 OUL983034 OKP983034 OAT983034 NQX983034 NHB983034 MXF983034 MNJ983034 MDN983034 LTR983034 LJV983034 KZZ983034 KQD983034 KGH983034 JWL983034 JMP983034 JCT983034 ISX983034 IJB983034 HZF983034 HPJ983034 HFN983034 GVR983034 GLV983034 GBZ983034 FSD983034 FIH983034 EYL983034 EOP983034 EET983034 DUX983034 DLB983034 DBF983034 CRJ983034 CHN983034 BXR983034 BNV983034 BDZ983034 AUD983034 AKH983034 AAL983034 QP983034 GT983034 WTF917498 WJJ917498 VZN917498 VPR917498 VFV917498 UVZ917498 UMD917498 UCH917498 TSL917498 TIP917498 SYT917498 SOX917498 SFB917498 RVF917498 RLJ917498 RBN917498 QRR917498 QHV917498 PXZ917498 POD917498 PEH917498 OUL917498 OKP917498 OAT917498 NQX917498 NHB917498 MXF917498 MNJ917498 MDN917498 LTR917498 LJV917498 KZZ917498 KQD917498 KGH917498 JWL917498 JMP917498 JCT917498 ISX917498 IJB917498 HZF917498 HPJ917498 HFN917498 GVR917498 GLV917498 GBZ917498 FSD917498 FIH917498 EYL917498 EOP917498 EET917498 DUX917498 DLB917498 DBF917498 CRJ917498 CHN917498 BXR917498 BNV917498 BDZ917498 AUD917498 AKH917498 AAL917498 QP917498 GT917498 WTF851962 WJJ851962 VZN851962 VPR851962 VFV851962 UVZ851962 UMD851962 UCH851962 TSL851962 TIP851962 SYT851962 SOX851962 SFB851962 RVF851962 RLJ851962 RBN851962 QRR851962 QHV851962 PXZ851962 POD851962 PEH851962 OUL851962 OKP851962 OAT851962 NQX851962 NHB851962 MXF851962 MNJ851962 MDN851962 LTR851962 LJV851962 KZZ851962 KQD851962 KGH851962 JWL851962 JMP851962 JCT851962 ISX851962 IJB851962 HZF851962 HPJ851962 HFN851962 GVR851962 GLV851962 GBZ851962 FSD851962 FIH851962 EYL851962 EOP851962 EET851962 DUX851962 DLB851962 DBF851962 CRJ851962 CHN851962 BXR851962 BNV851962 BDZ851962 AUD851962 AKH851962 AAL851962 QP851962 GT851962 WTF786426 WJJ786426 VZN786426 VPR786426 VFV786426 UVZ786426 UMD786426 UCH786426 TSL786426 TIP786426 SYT786426 SOX786426 SFB786426 RVF786426 RLJ786426 RBN786426 QRR786426 QHV786426 PXZ786426 POD786426 PEH786426 OUL786426 OKP786426 OAT786426 NQX786426 NHB786426 MXF786426 MNJ786426 MDN786426 LTR786426 LJV786426 KZZ786426 KQD786426 KGH786426 JWL786426 JMP786426 JCT786426 ISX786426 IJB786426 HZF786426 HPJ786426 HFN786426 GVR786426 GLV786426 GBZ786426 FSD786426 FIH786426 EYL786426 EOP786426 EET786426 DUX786426 DLB786426 DBF786426 CRJ786426 CHN786426 BXR786426 BNV786426 BDZ786426 AUD786426 AKH786426 AAL786426 QP786426 GT786426 WTF720890 WJJ720890 VZN720890 VPR720890 VFV720890 UVZ720890 UMD720890 UCH720890 TSL720890 TIP720890 SYT720890 SOX720890 SFB720890 RVF720890 RLJ720890 RBN720890 QRR720890 QHV720890 PXZ720890 POD720890 PEH720890 OUL720890 OKP720890 OAT720890 NQX720890 NHB720890 MXF720890 MNJ720890 MDN720890 LTR720890 LJV720890 KZZ720890 KQD720890 KGH720890 JWL720890 JMP720890 JCT720890 ISX720890 IJB720890 HZF720890 HPJ720890 HFN720890 GVR720890 GLV720890 GBZ720890 FSD720890 FIH720890 EYL720890 EOP720890 EET720890 DUX720890 DLB720890 DBF720890 CRJ720890 CHN720890 BXR720890 BNV720890 BDZ720890 AUD720890 AKH720890 AAL720890 QP720890 GT720890 WTF655354 WJJ655354 VZN655354 VPR655354 VFV655354 UVZ655354 UMD655354 UCH655354 TSL655354 TIP655354 SYT655354 SOX655354 SFB655354 RVF655354 RLJ655354 RBN655354 QRR655354 QHV655354 PXZ655354 POD655354 PEH655354 OUL655354 OKP655354 OAT655354 NQX655354 NHB655354 MXF655354 MNJ655354 MDN655354 LTR655354 LJV655354 KZZ655354 KQD655354 KGH655354 JWL655354 JMP655354 JCT655354 ISX655354 IJB655354 HZF655354 HPJ655354 HFN655354 GVR655354 GLV655354 GBZ655354 FSD655354 FIH655354 EYL655354 EOP655354 EET655354 DUX655354 DLB655354 DBF655354 CRJ655354 CHN655354 BXR655354 BNV655354 BDZ655354 AUD655354 AKH655354 AAL655354 QP655354 GT655354 WTF589818 WJJ589818 VZN589818 VPR589818 VFV589818 UVZ589818 UMD589818 UCH589818 TSL589818 TIP589818 SYT589818 SOX589818 SFB589818 RVF589818 RLJ589818 RBN589818 QRR589818 QHV589818 PXZ589818 POD589818 PEH589818 OUL589818 OKP589818 OAT589818 NQX589818 NHB589818 MXF589818 MNJ589818 MDN589818 LTR589818 LJV589818 KZZ589818 KQD589818 KGH589818 JWL589818 JMP589818 JCT589818 ISX589818 IJB589818 HZF589818 HPJ589818 HFN589818 GVR589818 GLV589818 GBZ589818 FSD589818 FIH589818 EYL589818 EOP589818 EET589818 DUX589818 DLB589818 DBF589818 CRJ589818 CHN589818 BXR589818 BNV589818 BDZ589818 AUD589818 AKH589818 AAL589818 QP589818 GT589818 WTF524282 WJJ524282 VZN524282 VPR524282 VFV524282 UVZ524282 UMD524282 UCH524282 TSL524282 TIP524282 SYT524282 SOX524282 SFB524282 RVF524282 RLJ524282 RBN524282 QRR524282 QHV524282 PXZ524282 POD524282 PEH524282 OUL524282 OKP524282 OAT524282 NQX524282 NHB524282 MXF524282 MNJ524282 MDN524282 LTR524282 LJV524282 KZZ524282 KQD524282 KGH524282 JWL524282 JMP524282 JCT524282 ISX524282 IJB524282 HZF524282 HPJ524282 HFN524282 GVR524282 GLV524282 GBZ524282 FSD524282 FIH524282 EYL524282 EOP524282 EET524282 DUX524282 DLB524282 DBF524282 CRJ524282 CHN524282 BXR524282 BNV524282 BDZ524282 AUD524282 AKH524282 AAL524282 QP524282 GT524282 WTF458746 WJJ458746 VZN458746 VPR458746 VFV458746 UVZ458746 UMD458746 UCH458746 TSL458746 TIP458746 SYT458746 SOX458746 SFB458746 RVF458746 RLJ458746 RBN458746 QRR458746 QHV458746 PXZ458746 POD458746 PEH458746 OUL458746 OKP458746 OAT458746 NQX458746 NHB458746 MXF458746 MNJ458746 MDN458746 LTR458746 LJV458746 KZZ458746 KQD458746 KGH458746 JWL458746 JMP458746 JCT458746 ISX458746 IJB458746 HZF458746 HPJ458746 HFN458746 GVR458746 GLV458746 GBZ458746 FSD458746 FIH458746 EYL458746 EOP458746 EET458746 DUX458746 DLB458746 DBF458746 CRJ458746 CHN458746 BXR458746 BNV458746 BDZ458746 AUD458746 AKH458746 AAL458746 QP458746 GT458746 WTF393210 WJJ393210 VZN393210 VPR393210 VFV393210 UVZ393210 UMD393210 UCH393210 TSL393210 TIP393210 SYT393210 SOX393210 SFB393210 RVF393210 RLJ393210 RBN393210 QRR393210 QHV393210 PXZ393210 POD393210 PEH393210 OUL393210 OKP393210 OAT393210 NQX393210 NHB393210 MXF393210 MNJ393210 MDN393210 LTR393210 LJV393210 KZZ393210 KQD393210 KGH393210 JWL393210 JMP393210 JCT393210 ISX393210 IJB393210 HZF393210 HPJ393210 HFN393210 GVR393210 GLV393210 GBZ393210 FSD393210 FIH393210 EYL393210 EOP393210 EET393210 DUX393210 DLB393210 DBF393210 CRJ393210 CHN393210 BXR393210 BNV393210 BDZ393210 AUD393210 AKH393210 AAL393210 QP393210 GT393210 WTF327674 WJJ327674 VZN327674 VPR327674 VFV327674 UVZ327674 UMD327674 UCH327674 TSL327674 TIP327674 SYT327674 SOX327674 SFB327674 RVF327674 RLJ327674 RBN327674 QRR327674 QHV327674 PXZ327674 POD327674 PEH327674 OUL327674 OKP327674 OAT327674 NQX327674 NHB327674 MXF327674 MNJ327674 MDN327674 LTR327674 LJV327674 KZZ327674 KQD327674 KGH327674 JWL327674 JMP327674 JCT327674 ISX327674 IJB327674 HZF327674 HPJ327674 HFN327674 GVR327674 GLV327674 GBZ327674 FSD327674 FIH327674 EYL327674 EOP327674 EET327674 DUX327674 DLB327674 DBF327674 CRJ327674 CHN327674 BXR327674 BNV327674 BDZ327674 AUD327674 AKH327674 AAL327674 QP327674 GT327674 WTF262138 WJJ262138 VZN262138 VPR262138 VFV262138 UVZ262138 UMD262138 UCH262138 TSL262138 TIP262138 SYT262138 SOX262138 SFB262138 RVF262138 RLJ262138 RBN262138 QRR262138 QHV262138 PXZ262138 POD262138 PEH262138 OUL262138 OKP262138 OAT262138 NQX262138 NHB262138 MXF262138 MNJ262138 MDN262138 LTR262138 LJV262138 KZZ262138 KQD262138 KGH262138 JWL262138 JMP262138 JCT262138 ISX262138 IJB262138 HZF262138 HPJ262138 HFN262138 GVR262138 GLV262138 GBZ262138 FSD262138 FIH262138 EYL262138 EOP262138 EET262138 DUX262138 DLB262138 DBF262138 CRJ262138 CHN262138 BXR262138 BNV262138 BDZ262138 AUD262138 AKH262138 AAL262138 QP262138 GT262138 WTF196602 WJJ196602 VZN196602 VPR196602 VFV196602 UVZ196602 UMD196602 UCH196602 TSL196602 TIP196602 SYT196602 SOX196602 SFB196602 RVF196602 RLJ196602 RBN196602 QRR196602 QHV196602 PXZ196602 POD196602 PEH196602 OUL196602 OKP196602 OAT196602 NQX196602 NHB196602 MXF196602 MNJ196602 MDN196602 LTR196602 LJV196602 KZZ196602 KQD196602 KGH196602 JWL196602 JMP196602 JCT196602 ISX196602 IJB196602 HZF196602 HPJ196602 HFN196602 GVR196602 GLV196602 GBZ196602 FSD196602 FIH196602 EYL196602 EOP196602 EET196602 DUX196602 DLB196602 DBF196602 CRJ196602 CHN196602 BXR196602 BNV196602 BDZ196602 AUD196602 AKH196602 AAL196602 QP196602 GT196602 WTF131066 WJJ131066 VZN131066 VPR131066 VFV131066 UVZ131066 UMD131066 UCH131066 TSL131066 TIP131066 SYT131066 SOX131066 SFB131066 RVF131066 RLJ131066 RBN131066 QRR131066 QHV131066 PXZ131066 POD131066 PEH131066 OUL131066 OKP131066 OAT131066 NQX131066 NHB131066 MXF131066 MNJ131066 MDN131066 LTR131066 LJV131066 KZZ131066 KQD131066 KGH131066 JWL131066 JMP131066 JCT131066 ISX131066 IJB131066 HZF131066 HPJ131066 HFN131066 GVR131066 GLV131066 GBZ131066 FSD131066 FIH131066 EYL131066 EOP131066 EET131066 DUX131066 DLB131066 DBF131066 CRJ131066 CHN131066 BXR131066 BNV131066 BDZ131066 AUD131066 AKH131066 AAL131066 QP131066 GT131066 WTF65530 WJJ65530 VZN65530 VPR65530 VFV65530 UVZ65530 UMD65530 UCH65530 TSL65530 TIP65530 SYT65530 SOX65530 SFB65530 RVF65530 RLJ65530 RBN65530 QRR65530 QHV65530 PXZ65530 POD65530 PEH65530 OUL65530 OKP65530 OAT65530 NQX65530 NHB65530 MXF65530 MNJ65530 MDN65530 LTR65530 LJV65530 KZZ65530 KQD65530 KGH65530 JWL65530 JMP65530 JCT65530 ISX65530 IJB65530 HZF65530 HPJ65530 HFN65530 GVR65530 GLV65530 GBZ65530 FSD65530 FIH65530 EYL65530 EOP65530 EET65530 DUX65530 DLB65530 DBF65530 CRJ65530 CHN65530 BXR65530 BNV65530 BDZ65530 AUD65530 AKH65530 AAL65530 QP65530 GT65530 WTF983034 HB65533:HD65533 QX65533:QZ65533 AAT65533:AAV65533 AKP65533:AKR65533 AUL65533:AUN65533 BEH65533:BEJ65533 BOD65533:BOF65533 BXZ65533:BYB65533 CHV65533:CHX65533 CRR65533:CRT65533 DBN65533:DBP65533 DLJ65533:DLL65533 DVF65533:DVH65533 EFB65533:EFD65533 EOX65533:EOZ65533 EYT65533:EYV65533 FIP65533:FIR65533 FSL65533:FSN65533 GCH65533:GCJ65533 GMD65533:GMF65533 GVZ65533:GWB65533 HFV65533:HFX65533 HPR65533:HPT65533 HZN65533:HZP65533 IJJ65533:IJL65533 ITF65533:ITH65533 JDB65533:JDD65533 JMX65533:JMZ65533 JWT65533:JWV65533 KGP65533:KGR65533 KQL65533:KQN65533 LAH65533:LAJ65533 LKD65533:LKF65533 LTZ65533:LUB65533 MDV65533:MDX65533 MNR65533:MNT65533 MXN65533:MXP65533 NHJ65533:NHL65533 NRF65533:NRH65533 OBB65533:OBD65533 OKX65533:OKZ65533 OUT65533:OUV65533 PEP65533:PER65533 POL65533:PON65533 PYH65533:PYJ65533 QID65533:QIF65533 QRZ65533:QSB65533 RBV65533:RBX65533 RLR65533:RLT65533 RVN65533:RVP65533 SFJ65533:SFL65533 SPF65533:SPH65533 SZB65533:SZD65533 TIX65533:TIZ65533 TST65533:TSV65533 UCP65533:UCR65533 UML65533:UMN65533 UWH65533:UWJ65533 VGD65533:VGF65533 VPZ65533:VQB65533 VZV65533:VZX65533 WJR65533:WJT65533 WTN65533:WTP65533 HB131069:HD131069 QX131069:QZ131069 AAT131069:AAV131069 AKP131069:AKR131069 AUL131069:AUN131069 BEH131069:BEJ131069 BOD131069:BOF131069 BXZ131069:BYB131069 CHV131069:CHX131069 CRR131069:CRT131069 DBN131069:DBP131069 DLJ131069:DLL131069 DVF131069:DVH131069 EFB131069:EFD131069 EOX131069:EOZ131069 EYT131069:EYV131069 FIP131069:FIR131069 FSL131069:FSN131069 GCH131069:GCJ131069 GMD131069:GMF131069 GVZ131069:GWB131069 HFV131069:HFX131069 HPR131069:HPT131069 HZN131069:HZP131069 IJJ131069:IJL131069 ITF131069:ITH131069 JDB131069:JDD131069 JMX131069:JMZ131069 JWT131069:JWV131069 KGP131069:KGR131069 KQL131069:KQN131069 LAH131069:LAJ131069 LKD131069:LKF131069 LTZ131069:LUB131069 MDV131069:MDX131069 MNR131069:MNT131069 MXN131069:MXP131069 NHJ131069:NHL131069 NRF131069:NRH131069 OBB131069:OBD131069 OKX131069:OKZ131069 OUT131069:OUV131069 PEP131069:PER131069 POL131069:PON131069 PYH131069:PYJ131069 QID131069:QIF131069 QRZ131069:QSB131069 RBV131069:RBX131069 RLR131069:RLT131069 RVN131069:RVP131069 SFJ131069:SFL131069 SPF131069:SPH131069 SZB131069:SZD131069 TIX131069:TIZ131069 TST131069:TSV131069 UCP131069:UCR131069 UML131069:UMN131069 UWH131069:UWJ131069 VGD131069:VGF131069 VPZ131069:VQB131069 VZV131069:VZX131069 WJR131069:WJT131069 WTN131069:WTP131069 HB196605:HD196605 QX196605:QZ196605 AAT196605:AAV196605 AKP196605:AKR196605 AUL196605:AUN196605 BEH196605:BEJ196605 BOD196605:BOF196605 BXZ196605:BYB196605 CHV196605:CHX196605 CRR196605:CRT196605 DBN196605:DBP196605 DLJ196605:DLL196605 DVF196605:DVH196605 EFB196605:EFD196605 EOX196605:EOZ196605 EYT196605:EYV196605 FIP196605:FIR196605 FSL196605:FSN196605 GCH196605:GCJ196605 GMD196605:GMF196605 GVZ196605:GWB196605 HFV196605:HFX196605 HPR196605:HPT196605 HZN196605:HZP196605 IJJ196605:IJL196605 ITF196605:ITH196605 JDB196605:JDD196605 JMX196605:JMZ196605 JWT196605:JWV196605 KGP196605:KGR196605 KQL196605:KQN196605 LAH196605:LAJ196605 LKD196605:LKF196605 LTZ196605:LUB196605 MDV196605:MDX196605 MNR196605:MNT196605 MXN196605:MXP196605 NHJ196605:NHL196605 NRF196605:NRH196605 OBB196605:OBD196605 OKX196605:OKZ196605 OUT196605:OUV196605 PEP196605:PER196605 POL196605:PON196605 PYH196605:PYJ196605 QID196605:QIF196605 QRZ196605:QSB196605 RBV196605:RBX196605 RLR196605:RLT196605 RVN196605:RVP196605 SFJ196605:SFL196605 SPF196605:SPH196605 SZB196605:SZD196605 TIX196605:TIZ196605 TST196605:TSV196605 UCP196605:UCR196605 UML196605:UMN196605 UWH196605:UWJ196605 VGD196605:VGF196605 VPZ196605:VQB196605 VZV196605:VZX196605 WJR196605:WJT196605 WTN196605:WTP196605 HB262141:HD262141 QX262141:QZ262141 AAT262141:AAV262141 AKP262141:AKR262141 AUL262141:AUN262141 BEH262141:BEJ262141 BOD262141:BOF262141 BXZ262141:BYB262141 CHV262141:CHX262141 CRR262141:CRT262141 DBN262141:DBP262141 DLJ262141:DLL262141 DVF262141:DVH262141 EFB262141:EFD262141 EOX262141:EOZ262141 EYT262141:EYV262141 FIP262141:FIR262141 FSL262141:FSN262141 GCH262141:GCJ262141 GMD262141:GMF262141 GVZ262141:GWB262141 HFV262141:HFX262141 HPR262141:HPT262141 HZN262141:HZP262141 IJJ262141:IJL262141 ITF262141:ITH262141 JDB262141:JDD262141 JMX262141:JMZ262141 JWT262141:JWV262141 KGP262141:KGR262141 KQL262141:KQN262141 LAH262141:LAJ262141 LKD262141:LKF262141 LTZ262141:LUB262141 MDV262141:MDX262141 MNR262141:MNT262141 MXN262141:MXP262141 NHJ262141:NHL262141 NRF262141:NRH262141 OBB262141:OBD262141 OKX262141:OKZ262141 OUT262141:OUV262141 PEP262141:PER262141 POL262141:PON262141 PYH262141:PYJ262141 QID262141:QIF262141 QRZ262141:QSB262141 RBV262141:RBX262141 RLR262141:RLT262141 RVN262141:RVP262141 SFJ262141:SFL262141 SPF262141:SPH262141 SZB262141:SZD262141 TIX262141:TIZ262141 TST262141:TSV262141 UCP262141:UCR262141 UML262141:UMN262141 UWH262141:UWJ262141 VGD262141:VGF262141 VPZ262141:VQB262141 VZV262141:VZX262141 WJR262141:WJT262141 WTN262141:WTP262141 HB327677:HD327677 QX327677:QZ327677 AAT327677:AAV327677 AKP327677:AKR327677 AUL327677:AUN327677 BEH327677:BEJ327677 BOD327677:BOF327677 BXZ327677:BYB327677 CHV327677:CHX327677 CRR327677:CRT327677 DBN327677:DBP327677 DLJ327677:DLL327677 DVF327677:DVH327677 EFB327677:EFD327677 EOX327677:EOZ327677 EYT327677:EYV327677 FIP327677:FIR327677 FSL327677:FSN327677 GCH327677:GCJ327677 GMD327677:GMF327677 GVZ327677:GWB327677 HFV327677:HFX327677 HPR327677:HPT327677 HZN327677:HZP327677 IJJ327677:IJL327677 ITF327677:ITH327677 JDB327677:JDD327677 JMX327677:JMZ327677 JWT327677:JWV327677 KGP327677:KGR327677 KQL327677:KQN327677 LAH327677:LAJ327677 LKD327677:LKF327677 LTZ327677:LUB327677 MDV327677:MDX327677 MNR327677:MNT327677 MXN327677:MXP327677 NHJ327677:NHL327677 NRF327677:NRH327677 OBB327677:OBD327677 OKX327677:OKZ327677 OUT327677:OUV327677 PEP327677:PER327677 POL327677:PON327677 PYH327677:PYJ327677 QID327677:QIF327677 QRZ327677:QSB327677 RBV327677:RBX327677 RLR327677:RLT327677 RVN327677:RVP327677 SFJ327677:SFL327677 SPF327677:SPH327677 SZB327677:SZD327677 TIX327677:TIZ327677 TST327677:TSV327677 UCP327677:UCR327677 UML327677:UMN327677 UWH327677:UWJ327677 VGD327677:VGF327677 VPZ327677:VQB327677 VZV327677:VZX327677 WJR327677:WJT327677 WTN327677:WTP327677 HB393213:HD393213 QX393213:QZ393213 AAT393213:AAV393213 AKP393213:AKR393213 AUL393213:AUN393213 BEH393213:BEJ393213 BOD393213:BOF393213 BXZ393213:BYB393213 CHV393213:CHX393213 CRR393213:CRT393213 DBN393213:DBP393213 DLJ393213:DLL393213 DVF393213:DVH393213 EFB393213:EFD393213 EOX393213:EOZ393213 EYT393213:EYV393213 FIP393213:FIR393213 FSL393213:FSN393213 GCH393213:GCJ393213 GMD393213:GMF393213 GVZ393213:GWB393213 HFV393213:HFX393213 HPR393213:HPT393213 HZN393213:HZP393213 IJJ393213:IJL393213 ITF393213:ITH393213 JDB393213:JDD393213 JMX393213:JMZ393213 JWT393213:JWV393213 KGP393213:KGR393213 KQL393213:KQN393213 LAH393213:LAJ393213 LKD393213:LKF393213 LTZ393213:LUB393213 MDV393213:MDX393213 MNR393213:MNT393213 MXN393213:MXP393213 NHJ393213:NHL393213 NRF393213:NRH393213 OBB393213:OBD393213 OKX393213:OKZ393213 OUT393213:OUV393213 PEP393213:PER393213 POL393213:PON393213 PYH393213:PYJ393213 QID393213:QIF393213 QRZ393213:QSB393213 RBV393213:RBX393213 RLR393213:RLT393213 RVN393213:RVP393213 SFJ393213:SFL393213 SPF393213:SPH393213 SZB393213:SZD393213 TIX393213:TIZ393213 TST393213:TSV393213 UCP393213:UCR393213 UML393213:UMN393213 UWH393213:UWJ393213 VGD393213:VGF393213 VPZ393213:VQB393213 VZV393213:VZX393213 WJR393213:WJT393213 WTN393213:WTP393213 HB458749:HD458749 QX458749:QZ458749 AAT458749:AAV458749 AKP458749:AKR458749 AUL458749:AUN458749 BEH458749:BEJ458749 BOD458749:BOF458749 BXZ458749:BYB458749 CHV458749:CHX458749 CRR458749:CRT458749 DBN458749:DBP458749 DLJ458749:DLL458749 DVF458749:DVH458749 EFB458749:EFD458749 EOX458749:EOZ458749 EYT458749:EYV458749 FIP458749:FIR458749 FSL458749:FSN458749 GCH458749:GCJ458749 GMD458749:GMF458749 GVZ458749:GWB458749 HFV458749:HFX458749 HPR458749:HPT458749 HZN458749:HZP458749 IJJ458749:IJL458749 ITF458749:ITH458749 JDB458749:JDD458749 JMX458749:JMZ458749 JWT458749:JWV458749 KGP458749:KGR458749 KQL458749:KQN458749 LAH458749:LAJ458749 LKD458749:LKF458749 LTZ458749:LUB458749 MDV458749:MDX458749 MNR458749:MNT458749 MXN458749:MXP458749 NHJ458749:NHL458749 NRF458749:NRH458749 OBB458749:OBD458749 OKX458749:OKZ458749 OUT458749:OUV458749 PEP458749:PER458749 POL458749:PON458749 PYH458749:PYJ458749 QID458749:QIF458749 QRZ458749:QSB458749 RBV458749:RBX458749 RLR458749:RLT458749 RVN458749:RVP458749 SFJ458749:SFL458749 SPF458749:SPH458749 SZB458749:SZD458749 TIX458749:TIZ458749 TST458749:TSV458749 UCP458749:UCR458749 UML458749:UMN458749 UWH458749:UWJ458749 VGD458749:VGF458749 VPZ458749:VQB458749 VZV458749:VZX458749 WJR458749:WJT458749 WTN458749:WTP458749 HB524285:HD524285 QX524285:QZ524285 AAT524285:AAV524285 AKP524285:AKR524285 AUL524285:AUN524285 BEH524285:BEJ524285 BOD524285:BOF524285 BXZ524285:BYB524285 CHV524285:CHX524285 CRR524285:CRT524285 DBN524285:DBP524285 DLJ524285:DLL524285 DVF524285:DVH524285 EFB524285:EFD524285 EOX524285:EOZ524285 EYT524285:EYV524285 FIP524285:FIR524285 FSL524285:FSN524285 GCH524285:GCJ524285 GMD524285:GMF524285 GVZ524285:GWB524285 HFV524285:HFX524285 HPR524285:HPT524285 HZN524285:HZP524285 IJJ524285:IJL524285 ITF524285:ITH524285 JDB524285:JDD524285 JMX524285:JMZ524285 JWT524285:JWV524285 KGP524285:KGR524285 KQL524285:KQN524285 LAH524285:LAJ524285 LKD524285:LKF524285 LTZ524285:LUB524285 MDV524285:MDX524285 MNR524285:MNT524285 MXN524285:MXP524285 NHJ524285:NHL524285 NRF524285:NRH524285 OBB524285:OBD524285 OKX524285:OKZ524285 OUT524285:OUV524285 PEP524285:PER524285 POL524285:PON524285 PYH524285:PYJ524285 QID524285:QIF524285 QRZ524285:QSB524285 RBV524285:RBX524285 RLR524285:RLT524285 RVN524285:RVP524285 SFJ524285:SFL524285 SPF524285:SPH524285 SZB524285:SZD524285 TIX524285:TIZ524285 TST524285:TSV524285 UCP524285:UCR524285 UML524285:UMN524285 UWH524285:UWJ524285 VGD524285:VGF524285 VPZ524285:VQB524285 VZV524285:VZX524285 WJR524285:WJT524285 WTN524285:WTP524285 HB589821:HD589821 QX589821:QZ589821 AAT589821:AAV589821 AKP589821:AKR589821 AUL589821:AUN589821 BEH589821:BEJ589821 BOD589821:BOF589821 BXZ589821:BYB589821 CHV589821:CHX589821 CRR589821:CRT589821 DBN589821:DBP589821 DLJ589821:DLL589821 DVF589821:DVH589821 EFB589821:EFD589821 EOX589821:EOZ589821 EYT589821:EYV589821 FIP589821:FIR589821 FSL589821:FSN589821 GCH589821:GCJ589821 GMD589821:GMF589821 GVZ589821:GWB589821 HFV589821:HFX589821 HPR589821:HPT589821 HZN589821:HZP589821 IJJ589821:IJL589821 ITF589821:ITH589821 JDB589821:JDD589821 JMX589821:JMZ589821 JWT589821:JWV589821 KGP589821:KGR589821 KQL589821:KQN589821 LAH589821:LAJ589821 LKD589821:LKF589821 LTZ589821:LUB589821 MDV589821:MDX589821 MNR589821:MNT589821 MXN589821:MXP589821 NHJ589821:NHL589821 NRF589821:NRH589821 OBB589821:OBD589821 OKX589821:OKZ589821 OUT589821:OUV589821 PEP589821:PER589821 POL589821:PON589821 PYH589821:PYJ589821 QID589821:QIF589821 QRZ589821:QSB589821 RBV589821:RBX589821 RLR589821:RLT589821 RVN589821:RVP589821 SFJ589821:SFL589821 SPF589821:SPH589821 SZB589821:SZD589821 TIX589821:TIZ589821 TST589821:TSV589821 UCP589821:UCR589821 UML589821:UMN589821 UWH589821:UWJ589821 VGD589821:VGF589821 VPZ589821:VQB589821 VZV589821:VZX589821 WJR589821:WJT589821 WTN589821:WTP589821 HB655357:HD655357 QX655357:QZ655357 AAT655357:AAV655357 AKP655357:AKR655357 AUL655357:AUN655357 BEH655357:BEJ655357 BOD655357:BOF655357 BXZ655357:BYB655357 CHV655357:CHX655357 CRR655357:CRT655357 DBN655357:DBP655357 DLJ655357:DLL655357 DVF655357:DVH655357 EFB655357:EFD655357 EOX655357:EOZ655357 EYT655357:EYV655357 FIP655357:FIR655357 FSL655357:FSN655357 GCH655357:GCJ655357 GMD655357:GMF655357 GVZ655357:GWB655357 HFV655357:HFX655357 HPR655357:HPT655357 HZN655357:HZP655357 IJJ655357:IJL655357 ITF655357:ITH655357 JDB655357:JDD655357 JMX655357:JMZ655357 JWT655357:JWV655357 KGP655357:KGR655357 KQL655357:KQN655357 LAH655357:LAJ655357 LKD655357:LKF655357 LTZ655357:LUB655357 MDV655357:MDX655357 MNR655357:MNT655357 MXN655357:MXP655357 NHJ655357:NHL655357 NRF655357:NRH655357 OBB655357:OBD655357 OKX655357:OKZ655357 OUT655357:OUV655357 PEP655357:PER655357 POL655357:PON655357 PYH655357:PYJ655357 QID655357:QIF655357 QRZ655357:QSB655357 RBV655357:RBX655357 RLR655357:RLT655357 RVN655357:RVP655357 SFJ655357:SFL655357 SPF655357:SPH655357 SZB655357:SZD655357 TIX655357:TIZ655357 TST655357:TSV655357 UCP655357:UCR655357 UML655357:UMN655357 UWH655357:UWJ655357 VGD655357:VGF655357 VPZ655357:VQB655357 VZV655357:VZX655357 WJR655357:WJT655357 WTN655357:WTP655357 HB720893:HD720893 QX720893:QZ720893 AAT720893:AAV720893 AKP720893:AKR720893 AUL720893:AUN720893 BEH720893:BEJ720893 BOD720893:BOF720893 BXZ720893:BYB720893 CHV720893:CHX720893 CRR720893:CRT720893 DBN720893:DBP720893 DLJ720893:DLL720893 DVF720893:DVH720893 EFB720893:EFD720893 EOX720893:EOZ720893 EYT720893:EYV720893 FIP720893:FIR720893 FSL720893:FSN720893 GCH720893:GCJ720893 GMD720893:GMF720893 GVZ720893:GWB720893 HFV720893:HFX720893 HPR720893:HPT720893 HZN720893:HZP720893 IJJ720893:IJL720893 ITF720893:ITH720893 JDB720893:JDD720893 JMX720893:JMZ720893 JWT720893:JWV720893 KGP720893:KGR720893 KQL720893:KQN720893 LAH720893:LAJ720893 LKD720893:LKF720893 LTZ720893:LUB720893 MDV720893:MDX720893 MNR720893:MNT720893 MXN720893:MXP720893 NHJ720893:NHL720893 NRF720893:NRH720893 OBB720893:OBD720893 OKX720893:OKZ720893 OUT720893:OUV720893 PEP720893:PER720893 POL720893:PON720893 PYH720893:PYJ720893 QID720893:QIF720893 QRZ720893:QSB720893 RBV720893:RBX720893 RLR720893:RLT720893 RVN720893:RVP720893 SFJ720893:SFL720893 SPF720893:SPH720893 SZB720893:SZD720893 TIX720893:TIZ720893 TST720893:TSV720893 UCP720893:UCR720893 UML720893:UMN720893 UWH720893:UWJ720893 VGD720893:VGF720893 VPZ720893:VQB720893 VZV720893:VZX720893 WJR720893:WJT720893 WTN720893:WTP720893 HB786429:HD786429 QX786429:QZ786429 AAT786429:AAV786429 AKP786429:AKR786429 AUL786429:AUN786429 BEH786429:BEJ786429 BOD786429:BOF786429 BXZ786429:BYB786429 CHV786429:CHX786429 CRR786429:CRT786429 DBN786429:DBP786429 DLJ786429:DLL786429 DVF786429:DVH786429 EFB786429:EFD786429 EOX786429:EOZ786429 EYT786429:EYV786429 FIP786429:FIR786429 FSL786429:FSN786429 GCH786429:GCJ786429 GMD786429:GMF786429 GVZ786429:GWB786429 HFV786429:HFX786429 HPR786429:HPT786429 HZN786429:HZP786429 IJJ786429:IJL786429 ITF786429:ITH786429 JDB786429:JDD786429 JMX786429:JMZ786429 JWT786429:JWV786429 KGP786429:KGR786429 KQL786429:KQN786429 LAH786429:LAJ786429 LKD786429:LKF786429 LTZ786429:LUB786429 MDV786429:MDX786429 MNR786429:MNT786429 MXN786429:MXP786429 NHJ786429:NHL786429 NRF786429:NRH786429 OBB786429:OBD786429 OKX786429:OKZ786429 OUT786429:OUV786429 PEP786429:PER786429 POL786429:PON786429 PYH786429:PYJ786429 QID786429:QIF786429 QRZ786429:QSB786429 RBV786429:RBX786429 RLR786429:RLT786429 RVN786429:RVP786429 SFJ786429:SFL786429 SPF786429:SPH786429 SZB786429:SZD786429 TIX786429:TIZ786429 TST786429:TSV786429 UCP786429:UCR786429 UML786429:UMN786429 UWH786429:UWJ786429 VGD786429:VGF786429 VPZ786429:VQB786429 VZV786429:VZX786429 WJR786429:WJT786429 WTN786429:WTP786429 HB851965:HD851965 QX851965:QZ851965 AAT851965:AAV851965 AKP851965:AKR851965 AUL851965:AUN851965 BEH851965:BEJ851965 BOD851965:BOF851965 BXZ851965:BYB851965 CHV851965:CHX851965 CRR851965:CRT851965 DBN851965:DBP851965 DLJ851965:DLL851965 DVF851965:DVH851965 EFB851965:EFD851965 EOX851965:EOZ851965 EYT851965:EYV851965 FIP851965:FIR851965 FSL851965:FSN851965 GCH851965:GCJ851965 GMD851965:GMF851965 GVZ851965:GWB851965 HFV851965:HFX851965 HPR851965:HPT851965 HZN851965:HZP851965 IJJ851965:IJL851965 ITF851965:ITH851965 JDB851965:JDD851965 JMX851965:JMZ851965 JWT851965:JWV851965 KGP851965:KGR851965 KQL851965:KQN851965 LAH851965:LAJ851965 LKD851965:LKF851965 LTZ851965:LUB851965 MDV851965:MDX851965 MNR851965:MNT851965 MXN851965:MXP851965 NHJ851965:NHL851965 NRF851965:NRH851965 OBB851965:OBD851965 OKX851965:OKZ851965 OUT851965:OUV851965 PEP851965:PER851965 POL851965:PON851965 PYH851965:PYJ851965 QID851965:QIF851965 QRZ851965:QSB851965 RBV851965:RBX851965 RLR851965:RLT851965 RVN851965:RVP851965 SFJ851965:SFL851965 SPF851965:SPH851965 SZB851965:SZD851965 TIX851965:TIZ851965 TST851965:TSV851965 UCP851965:UCR851965 UML851965:UMN851965 UWH851965:UWJ851965 VGD851965:VGF851965 VPZ851965:VQB851965 VZV851965:VZX851965 WJR851965:WJT851965 WTN851965:WTP851965 HB917501:HD917501 QX917501:QZ917501 AAT917501:AAV917501 AKP917501:AKR917501 AUL917501:AUN917501 BEH917501:BEJ917501 BOD917501:BOF917501 BXZ917501:BYB917501 CHV917501:CHX917501 CRR917501:CRT917501 DBN917501:DBP917501 DLJ917501:DLL917501 DVF917501:DVH917501 EFB917501:EFD917501 EOX917501:EOZ917501 EYT917501:EYV917501 FIP917501:FIR917501 FSL917501:FSN917501 GCH917501:GCJ917501 GMD917501:GMF917501 GVZ917501:GWB917501 HFV917501:HFX917501 HPR917501:HPT917501 HZN917501:HZP917501 IJJ917501:IJL917501 ITF917501:ITH917501 JDB917501:JDD917501 JMX917501:JMZ917501 JWT917501:JWV917501 KGP917501:KGR917501 KQL917501:KQN917501 LAH917501:LAJ917501 LKD917501:LKF917501 LTZ917501:LUB917501 MDV917501:MDX917501 MNR917501:MNT917501 MXN917501:MXP917501 NHJ917501:NHL917501 NRF917501:NRH917501 OBB917501:OBD917501 OKX917501:OKZ917501 OUT917501:OUV917501 PEP917501:PER917501 POL917501:PON917501 PYH917501:PYJ917501 QID917501:QIF917501 QRZ917501:QSB917501 RBV917501:RBX917501 RLR917501:RLT917501 RVN917501:RVP917501 SFJ917501:SFL917501 SPF917501:SPH917501 SZB917501:SZD917501 TIX917501:TIZ917501 TST917501:TSV917501 UCP917501:UCR917501 UML917501:UMN917501 UWH917501:UWJ917501 VGD917501:VGF917501 VPZ917501:VQB917501 VZV917501:VZX917501 WJR917501:WJT917501 WTN917501:WTP917501 HB983037:HD983037 QX983037:QZ983037 AAT983037:AAV983037 AKP983037:AKR983037 AUL983037:AUN983037 BEH983037:BEJ983037 BOD983037:BOF983037 BXZ983037:BYB983037 CHV983037:CHX983037 CRR983037:CRT983037 DBN983037:DBP983037 DLJ983037:DLL983037 DVF983037:DVH983037 EFB983037:EFD983037 EOX983037:EOZ983037 EYT983037:EYV983037 FIP983037:FIR983037 FSL983037:FSN983037 GCH983037:GCJ983037 GMD983037:GMF983037 GVZ983037:GWB983037 HFV983037:HFX983037 HPR983037:HPT983037 HZN983037:HZP983037 IJJ983037:IJL983037 ITF983037:ITH983037 JDB983037:JDD983037 JMX983037:JMZ983037 JWT983037:JWV983037 KGP983037:KGR983037 KQL983037:KQN983037 LAH983037:LAJ983037 LKD983037:LKF983037 LTZ983037:LUB983037 MDV983037:MDX983037 MNR983037:MNT983037 MXN983037:MXP983037 NHJ983037:NHL983037 NRF983037:NRH983037 OBB983037:OBD983037 OKX983037:OKZ983037 OUT983037:OUV983037 PEP983037:PER983037 POL983037:PON983037 PYH983037:PYJ983037 QID983037:QIF983037 QRZ983037:QSB983037 RBV983037:RBX983037 RLR983037:RLT983037 RVN983037:RVP983037 SFJ983037:SFL983037 SPF983037:SPH983037 SZB983037:SZD983037 TIX983037:TIZ983037 TST983037:TSV983037 UCP983037:UCR983037 UML983037:UMN983037 UWH983037:UWJ983037 VGD983037:VGF983037 VPZ983037:VQB983037 VZV983037:VZX983037 WJR983037:WJT983037 WTN983037:WTP983037 GT65533:GU65533 QP65533:QQ65533 AAL65533:AAM65533 AKH65533:AKI65533 AUD65533:AUE65533 BDZ65533:BEA65533 BNV65533:BNW65533 BXR65533:BXS65533 CHN65533:CHO65533 CRJ65533:CRK65533 DBF65533:DBG65533 DLB65533:DLC65533 DUX65533:DUY65533 EET65533:EEU65533 EOP65533:EOQ65533 EYL65533:EYM65533 FIH65533:FII65533 FSD65533:FSE65533 GBZ65533:GCA65533 GLV65533:GLW65533 GVR65533:GVS65533 HFN65533:HFO65533 HPJ65533:HPK65533 HZF65533:HZG65533 IJB65533:IJC65533 ISX65533:ISY65533 JCT65533:JCU65533 JMP65533:JMQ65533 JWL65533:JWM65533 KGH65533:KGI65533 KQD65533:KQE65533 KZZ65533:LAA65533 LJV65533:LJW65533 LTR65533:LTS65533 MDN65533:MDO65533 MNJ65533:MNK65533 MXF65533:MXG65533 NHB65533:NHC65533 NQX65533:NQY65533 OAT65533:OAU65533 OKP65533:OKQ65533 OUL65533:OUM65533 PEH65533:PEI65533 POD65533:POE65533 PXZ65533:PYA65533 QHV65533:QHW65533 QRR65533:QRS65533 RBN65533:RBO65533 RLJ65533:RLK65533 RVF65533:RVG65533 SFB65533:SFC65533 SOX65533:SOY65533 SYT65533:SYU65533 TIP65533:TIQ65533 TSL65533:TSM65533 UCH65533:UCI65533 UMD65533:UME65533 UVZ65533:UWA65533 VFV65533:VFW65533 VPR65533:VPS65533 VZN65533:VZO65533 WJJ65533:WJK65533 WTF65533:WTG65533 GT131069:GU131069 QP131069:QQ131069 AAL131069:AAM131069 AKH131069:AKI131069 AUD131069:AUE131069 BDZ131069:BEA131069 BNV131069:BNW131069 BXR131069:BXS131069 CHN131069:CHO131069 CRJ131069:CRK131069 DBF131069:DBG131069 DLB131069:DLC131069 DUX131069:DUY131069 EET131069:EEU131069 EOP131069:EOQ131069 EYL131069:EYM131069 FIH131069:FII131069 FSD131069:FSE131069 GBZ131069:GCA131069 GLV131069:GLW131069 GVR131069:GVS131069 HFN131069:HFO131069 HPJ131069:HPK131069 HZF131069:HZG131069 IJB131069:IJC131069 ISX131069:ISY131069 JCT131069:JCU131069 JMP131069:JMQ131069 JWL131069:JWM131069 KGH131069:KGI131069 KQD131069:KQE131069 KZZ131069:LAA131069 LJV131069:LJW131069 LTR131069:LTS131069 MDN131069:MDO131069 MNJ131069:MNK131069 MXF131069:MXG131069 NHB131069:NHC131069 NQX131069:NQY131069 OAT131069:OAU131069 OKP131069:OKQ131069 OUL131069:OUM131069 PEH131069:PEI131069 POD131069:POE131069 PXZ131069:PYA131069 QHV131069:QHW131069 QRR131069:QRS131069 RBN131069:RBO131069 RLJ131069:RLK131069 RVF131069:RVG131069 SFB131069:SFC131069 SOX131069:SOY131069 SYT131069:SYU131069 TIP131069:TIQ131069 TSL131069:TSM131069 UCH131069:UCI131069 UMD131069:UME131069 UVZ131069:UWA131069 VFV131069:VFW131069 VPR131069:VPS131069 VZN131069:VZO131069 WJJ131069:WJK131069 WTF131069:WTG131069 GT196605:GU196605 QP196605:QQ196605 AAL196605:AAM196605 AKH196605:AKI196605 AUD196605:AUE196605 BDZ196605:BEA196605 BNV196605:BNW196605 BXR196605:BXS196605 CHN196605:CHO196605 CRJ196605:CRK196605 DBF196605:DBG196605 DLB196605:DLC196605 DUX196605:DUY196605 EET196605:EEU196605 EOP196605:EOQ196605 EYL196605:EYM196605 FIH196605:FII196605 FSD196605:FSE196605 GBZ196605:GCA196605 GLV196605:GLW196605 GVR196605:GVS196605 HFN196605:HFO196605 HPJ196605:HPK196605 HZF196605:HZG196605 IJB196605:IJC196605 ISX196605:ISY196605 JCT196605:JCU196605 JMP196605:JMQ196605 JWL196605:JWM196605 KGH196605:KGI196605 KQD196605:KQE196605 KZZ196605:LAA196605 LJV196605:LJW196605 LTR196605:LTS196605 MDN196605:MDO196605 MNJ196605:MNK196605 MXF196605:MXG196605 NHB196605:NHC196605 NQX196605:NQY196605 OAT196605:OAU196605 OKP196605:OKQ196605 OUL196605:OUM196605 PEH196605:PEI196605 POD196605:POE196605 PXZ196605:PYA196605 QHV196605:QHW196605 QRR196605:QRS196605 RBN196605:RBO196605 RLJ196605:RLK196605 RVF196605:RVG196605 SFB196605:SFC196605 SOX196605:SOY196605 SYT196605:SYU196605 TIP196605:TIQ196605 TSL196605:TSM196605 UCH196605:UCI196605 UMD196605:UME196605 UVZ196605:UWA196605 VFV196605:VFW196605 VPR196605:VPS196605 VZN196605:VZO196605 WJJ196605:WJK196605 WTF196605:WTG196605 GT262141:GU262141 QP262141:QQ262141 AAL262141:AAM262141 AKH262141:AKI262141 AUD262141:AUE262141 BDZ262141:BEA262141 BNV262141:BNW262141 BXR262141:BXS262141 CHN262141:CHO262141 CRJ262141:CRK262141 DBF262141:DBG262141 DLB262141:DLC262141 DUX262141:DUY262141 EET262141:EEU262141 EOP262141:EOQ262141 EYL262141:EYM262141 FIH262141:FII262141 FSD262141:FSE262141 GBZ262141:GCA262141 GLV262141:GLW262141 GVR262141:GVS262141 HFN262141:HFO262141 HPJ262141:HPK262141 HZF262141:HZG262141 IJB262141:IJC262141 ISX262141:ISY262141 JCT262141:JCU262141 JMP262141:JMQ262141 JWL262141:JWM262141 KGH262141:KGI262141 KQD262141:KQE262141 KZZ262141:LAA262141 LJV262141:LJW262141 LTR262141:LTS262141 MDN262141:MDO262141 MNJ262141:MNK262141 MXF262141:MXG262141 NHB262141:NHC262141 NQX262141:NQY262141 OAT262141:OAU262141 OKP262141:OKQ262141 OUL262141:OUM262141 PEH262141:PEI262141 POD262141:POE262141 PXZ262141:PYA262141 QHV262141:QHW262141 QRR262141:QRS262141 RBN262141:RBO262141 RLJ262141:RLK262141 RVF262141:RVG262141 SFB262141:SFC262141 SOX262141:SOY262141 SYT262141:SYU262141 TIP262141:TIQ262141 TSL262141:TSM262141 UCH262141:UCI262141 UMD262141:UME262141 UVZ262141:UWA262141 VFV262141:VFW262141 VPR262141:VPS262141 VZN262141:VZO262141 WJJ262141:WJK262141 WTF262141:WTG262141 GT327677:GU327677 QP327677:QQ327677 AAL327677:AAM327677 AKH327677:AKI327677 AUD327677:AUE327677 BDZ327677:BEA327677 BNV327677:BNW327677 BXR327677:BXS327677 CHN327677:CHO327677 CRJ327677:CRK327677 DBF327677:DBG327677 DLB327677:DLC327677 DUX327677:DUY327677 EET327677:EEU327677 EOP327677:EOQ327677 EYL327677:EYM327677 FIH327677:FII327677 FSD327677:FSE327677 GBZ327677:GCA327677 GLV327677:GLW327677 GVR327677:GVS327677 HFN327677:HFO327677 HPJ327677:HPK327677 HZF327677:HZG327677 IJB327677:IJC327677 ISX327677:ISY327677 JCT327677:JCU327677 JMP327677:JMQ327677 JWL327677:JWM327677 KGH327677:KGI327677 KQD327677:KQE327677 KZZ327677:LAA327677 LJV327677:LJW327677 LTR327677:LTS327677 MDN327677:MDO327677 MNJ327677:MNK327677 MXF327677:MXG327677 NHB327677:NHC327677 NQX327677:NQY327677 OAT327677:OAU327677 OKP327677:OKQ327677 OUL327677:OUM327677 PEH327677:PEI327677 POD327677:POE327677 PXZ327677:PYA327677 QHV327677:QHW327677 QRR327677:QRS327677 RBN327677:RBO327677 RLJ327677:RLK327677 RVF327677:RVG327677 SFB327677:SFC327677 SOX327677:SOY327677 SYT327677:SYU327677 TIP327677:TIQ327677 TSL327677:TSM327677 UCH327677:UCI327677 UMD327677:UME327677 UVZ327677:UWA327677 VFV327677:VFW327677 VPR327677:VPS327677 VZN327677:VZO327677 WJJ327677:WJK327677 WTF327677:WTG327677 GT393213:GU393213 QP393213:QQ393213 AAL393213:AAM393213 AKH393213:AKI393213 AUD393213:AUE393213 BDZ393213:BEA393213 BNV393213:BNW393213 BXR393213:BXS393213 CHN393213:CHO393213 CRJ393213:CRK393213 DBF393213:DBG393213 DLB393213:DLC393213 DUX393213:DUY393213 EET393213:EEU393213 EOP393213:EOQ393213 EYL393213:EYM393213 FIH393213:FII393213 FSD393213:FSE393213 GBZ393213:GCA393213 GLV393213:GLW393213 GVR393213:GVS393213 HFN393213:HFO393213 HPJ393213:HPK393213 HZF393213:HZG393213 IJB393213:IJC393213 ISX393213:ISY393213 JCT393213:JCU393213 JMP393213:JMQ393213 JWL393213:JWM393213 KGH393213:KGI393213 KQD393213:KQE393213 KZZ393213:LAA393213 LJV393213:LJW393213 LTR393213:LTS393213 MDN393213:MDO393213 MNJ393213:MNK393213 MXF393213:MXG393213 NHB393213:NHC393213 NQX393213:NQY393213 OAT393213:OAU393213 OKP393213:OKQ393213 OUL393213:OUM393213 PEH393213:PEI393213 POD393213:POE393213 PXZ393213:PYA393213 QHV393213:QHW393213 QRR393213:QRS393213 RBN393213:RBO393213 RLJ393213:RLK393213 RVF393213:RVG393213 SFB393213:SFC393213 SOX393213:SOY393213 SYT393213:SYU393213 TIP393213:TIQ393213 TSL393213:TSM393213 UCH393213:UCI393213 UMD393213:UME393213 UVZ393213:UWA393213 VFV393213:VFW393213 VPR393213:VPS393213 VZN393213:VZO393213 WJJ393213:WJK393213 WTF393213:WTG393213 GT458749:GU458749 QP458749:QQ458749 AAL458749:AAM458749 AKH458749:AKI458749 AUD458749:AUE458749 BDZ458749:BEA458749 BNV458749:BNW458749 BXR458749:BXS458749 CHN458749:CHO458749 CRJ458749:CRK458749 DBF458749:DBG458749 DLB458749:DLC458749 DUX458749:DUY458749 EET458749:EEU458749 EOP458749:EOQ458749 EYL458749:EYM458749 FIH458749:FII458749 FSD458749:FSE458749 GBZ458749:GCA458749 GLV458749:GLW458749 GVR458749:GVS458749 HFN458749:HFO458749 HPJ458749:HPK458749 HZF458749:HZG458749 IJB458749:IJC458749 ISX458749:ISY458749 JCT458749:JCU458749 JMP458749:JMQ458749 JWL458749:JWM458749 KGH458749:KGI458749 KQD458749:KQE458749 KZZ458749:LAA458749 LJV458749:LJW458749 LTR458749:LTS458749 MDN458749:MDO458749 MNJ458749:MNK458749 MXF458749:MXG458749 NHB458749:NHC458749 NQX458749:NQY458749 OAT458749:OAU458749 OKP458749:OKQ458749 OUL458749:OUM458749 PEH458749:PEI458749 POD458749:POE458749 PXZ458749:PYA458749 QHV458749:QHW458749 QRR458749:QRS458749 RBN458749:RBO458749 RLJ458749:RLK458749 RVF458749:RVG458749 SFB458749:SFC458749 SOX458749:SOY458749 SYT458749:SYU458749 TIP458749:TIQ458749 TSL458749:TSM458749 UCH458749:UCI458749 UMD458749:UME458749 UVZ458749:UWA458749 VFV458749:VFW458749 VPR458749:VPS458749 VZN458749:VZO458749 WJJ458749:WJK458749 WTF458749:WTG458749 GT524285:GU524285 QP524285:QQ524285 AAL524285:AAM524285 AKH524285:AKI524285 AUD524285:AUE524285 BDZ524285:BEA524285 BNV524285:BNW524285 BXR524285:BXS524285 CHN524285:CHO524285 CRJ524285:CRK524285 DBF524285:DBG524285 DLB524285:DLC524285 DUX524285:DUY524285 EET524285:EEU524285 EOP524285:EOQ524285 EYL524285:EYM524285 FIH524285:FII524285 FSD524285:FSE524285 GBZ524285:GCA524285 GLV524285:GLW524285 GVR524285:GVS524285 HFN524285:HFO524285 HPJ524285:HPK524285 HZF524285:HZG524285 IJB524285:IJC524285 ISX524285:ISY524285 JCT524285:JCU524285 JMP524285:JMQ524285 JWL524285:JWM524285 KGH524285:KGI524285 KQD524285:KQE524285 KZZ524285:LAA524285 LJV524285:LJW524285 LTR524285:LTS524285 MDN524285:MDO524285 MNJ524285:MNK524285 MXF524285:MXG524285 NHB524285:NHC524285 NQX524285:NQY524285 OAT524285:OAU524285 OKP524285:OKQ524285 OUL524285:OUM524285 PEH524285:PEI524285 POD524285:POE524285 PXZ524285:PYA524285 QHV524285:QHW524285 QRR524285:QRS524285 RBN524285:RBO524285 RLJ524285:RLK524285 RVF524285:RVG524285 SFB524285:SFC524285 SOX524285:SOY524285 SYT524285:SYU524285 TIP524285:TIQ524285 TSL524285:TSM524285 UCH524285:UCI524285 UMD524285:UME524285 UVZ524285:UWA524285 VFV524285:VFW524285 VPR524285:VPS524285 VZN524285:VZO524285 WJJ524285:WJK524285 WTF524285:WTG524285 GT589821:GU589821 QP589821:QQ589821 AAL589821:AAM589821 AKH589821:AKI589821 AUD589821:AUE589821 BDZ589821:BEA589821 BNV589821:BNW589821 BXR589821:BXS589821 CHN589821:CHO589821 CRJ589821:CRK589821 DBF589821:DBG589821 DLB589821:DLC589821 DUX589821:DUY589821 EET589821:EEU589821 EOP589821:EOQ589821 EYL589821:EYM589821 FIH589821:FII589821 FSD589821:FSE589821 GBZ589821:GCA589821 GLV589821:GLW589821 GVR589821:GVS589821 HFN589821:HFO589821 HPJ589821:HPK589821 HZF589821:HZG589821 IJB589821:IJC589821 ISX589821:ISY589821 JCT589821:JCU589821 JMP589821:JMQ589821 JWL589821:JWM589821 KGH589821:KGI589821 KQD589821:KQE589821 KZZ589821:LAA589821 LJV589821:LJW589821 LTR589821:LTS589821 MDN589821:MDO589821 MNJ589821:MNK589821 MXF589821:MXG589821 NHB589821:NHC589821 NQX589821:NQY589821 OAT589821:OAU589821 OKP589821:OKQ589821 OUL589821:OUM589821 PEH589821:PEI589821 POD589821:POE589821 PXZ589821:PYA589821 QHV589821:QHW589821 QRR589821:QRS589821 RBN589821:RBO589821 RLJ589821:RLK589821 RVF589821:RVG589821 SFB589821:SFC589821 SOX589821:SOY589821 SYT589821:SYU589821 TIP589821:TIQ589821 TSL589821:TSM589821 UCH589821:UCI589821 UMD589821:UME589821 UVZ589821:UWA589821 VFV589821:VFW589821 VPR589821:VPS589821 VZN589821:VZO589821 WJJ589821:WJK589821 WTF589821:WTG589821 GT655357:GU655357 QP655357:QQ655357 AAL655357:AAM655357 AKH655357:AKI655357 AUD655357:AUE655357 BDZ655357:BEA655357 BNV655357:BNW655357 BXR655357:BXS655357 CHN655357:CHO655357 CRJ655357:CRK655357 DBF655357:DBG655357 DLB655357:DLC655357 DUX655357:DUY655357 EET655357:EEU655357 EOP655357:EOQ655357 EYL655357:EYM655357 FIH655357:FII655357 FSD655357:FSE655357 GBZ655357:GCA655357 GLV655357:GLW655357 GVR655357:GVS655357 HFN655357:HFO655357 HPJ655357:HPK655357 HZF655357:HZG655357 IJB655357:IJC655357 ISX655357:ISY655357 JCT655357:JCU655357 JMP655357:JMQ655357 JWL655357:JWM655357 KGH655357:KGI655357 KQD655357:KQE655357 KZZ655357:LAA655357 LJV655357:LJW655357 LTR655357:LTS655357 MDN655357:MDO655357 MNJ655357:MNK655357 MXF655357:MXG655357 NHB655357:NHC655357 NQX655357:NQY655357 OAT655357:OAU655357 OKP655357:OKQ655357 OUL655357:OUM655357 PEH655357:PEI655357 POD655357:POE655357 PXZ655357:PYA655357 QHV655357:QHW655357 QRR655357:QRS655357 RBN655357:RBO655357 RLJ655357:RLK655357 RVF655357:RVG655357 SFB655357:SFC655357 SOX655357:SOY655357 SYT655357:SYU655357 TIP655357:TIQ655357 TSL655357:TSM655357 UCH655357:UCI655357 UMD655357:UME655357 UVZ655357:UWA655357 VFV655357:VFW655357 VPR655357:VPS655357 VZN655357:VZO655357 WJJ655357:WJK655357 WTF655357:WTG655357 GT720893:GU720893 QP720893:QQ720893 AAL720893:AAM720893 AKH720893:AKI720893 AUD720893:AUE720893 BDZ720893:BEA720893 BNV720893:BNW720893 BXR720893:BXS720893 CHN720893:CHO720893 CRJ720893:CRK720893 DBF720893:DBG720893 DLB720893:DLC720893 DUX720893:DUY720893 EET720893:EEU720893 EOP720893:EOQ720893 EYL720893:EYM720893 FIH720893:FII720893 FSD720893:FSE720893 GBZ720893:GCA720893 GLV720893:GLW720893 GVR720893:GVS720893 HFN720893:HFO720893 HPJ720893:HPK720893 HZF720893:HZG720893 IJB720893:IJC720893 ISX720893:ISY720893 JCT720893:JCU720893 JMP720893:JMQ720893 JWL720893:JWM720893 KGH720893:KGI720893 KQD720893:KQE720893 KZZ720893:LAA720893 LJV720893:LJW720893 LTR720893:LTS720893 MDN720893:MDO720893 MNJ720893:MNK720893 MXF720893:MXG720893 NHB720893:NHC720893 NQX720893:NQY720893 OAT720893:OAU720893 OKP720893:OKQ720893 OUL720893:OUM720893 PEH720893:PEI720893 POD720893:POE720893 PXZ720893:PYA720893 QHV720893:QHW720893 QRR720893:QRS720893 RBN720893:RBO720893 RLJ720893:RLK720893 RVF720893:RVG720893 SFB720893:SFC720893 SOX720893:SOY720893 SYT720893:SYU720893 TIP720893:TIQ720893 TSL720893:TSM720893 UCH720893:UCI720893 UMD720893:UME720893 UVZ720893:UWA720893 VFV720893:VFW720893 VPR720893:VPS720893 VZN720893:VZO720893 WJJ720893:WJK720893 WTF720893:WTG720893 GT786429:GU786429 QP786429:QQ786429 AAL786429:AAM786429 AKH786429:AKI786429 AUD786429:AUE786429 BDZ786429:BEA786429 BNV786429:BNW786429 BXR786429:BXS786429 CHN786429:CHO786429 CRJ786429:CRK786429 DBF786429:DBG786429 DLB786429:DLC786429 DUX786429:DUY786429 EET786429:EEU786429 EOP786429:EOQ786429 EYL786429:EYM786429 FIH786429:FII786429 FSD786429:FSE786429 GBZ786429:GCA786429 GLV786429:GLW786429 GVR786429:GVS786429 HFN786429:HFO786429 HPJ786429:HPK786429 HZF786429:HZG786429 IJB786429:IJC786429 ISX786429:ISY786429 JCT786429:JCU786429 JMP786429:JMQ786429 JWL786429:JWM786429 KGH786429:KGI786429 KQD786429:KQE786429 KZZ786429:LAA786429 LJV786429:LJW786429 LTR786429:LTS786429 MDN786429:MDO786429 MNJ786429:MNK786429 MXF786429:MXG786429 NHB786429:NHC786429 NQX786429:NQY786429 OAT786429:OAU786429 OKP786429:OKQ786429 OUL786429:OUM786429 PEH786429:PEI786429 POD786429:POE786429 PXZ786429:PYA786429 QHV786429:QHW786429 QRR786429:QRS786429 RBN786429:RBO786429 RLJ786429:RLK786429 RVF786429:RVG786429 SFB786429:SFC786429 SOX786429:SOY786429 SYT786429:SYU786429 TIP786429:TIQ786429 TSL786429:TSM786429 UCH786429:UCI786429 UMD786429:UME786429 UVZ786429:UWA786429 VFV786429:VFW786429 VPR786429:VPS786429 VZN786429:VZO786429 WJJ786429:WJK786429 WTF786429:WTG786429 GT851965:GU851965 QP851965:QQ851965 AAL851965:AAM851965 AKH851965:AKI851965 AUD851965:AUE851965 BDZ851965:BEA851965 BNV851965:BNW851965 BXR851965:BXS851965 CHN851965:CHO851965 CRJ851965:CRK851965 DBF851965:DBG851965 DLB851965:DLC851965 DUX851965:DUY851965 EET851965:EEU851965 EOP851965:EOQ851965 EYL851965:EYM851965 FIH851965:FII851965 FSD851965:FSE851965 GBZ851965:GCA851965 GLV851965:GLW851965 GVR851965:GVS851965 HFN851965:HFO851965 HPJ851965:HPK851965 HZF851965:HZG851965 IJB851965:IJC851965 ISX851965:ISY851965 JCT851965:JCU851965 JMP851965:JMQ851965 JWL851965:JWM851965 KGH851965:KGI851965 KQD851965:KQE851965 KZZ851965:LAA851965 LJV851965:LJW851965 LTR851965:LTS851965 MDN851965:MDO851965 MNJ851965:MNK851965 MXF851965:MXG851965 NHB851965:NHC851965 NQX851965:NQY851965 OAT851965:OAU851965 OKP851965:OKQ851965 OUL851965:OUM851965 PEH851965:PEI851965 POD851965:POE851965 PXZ851965:PYA851965 QHV851965:QHW851965 QRR851965:QRS851965 RBN851965:RBO851965 RLJ851965:RLK851965 RVF851965:RVG851965 SFB851965:SFC851965 SOX851965:SOY851965 SYT851965:SYU851965 TIP851965:TIQ851965 TSL851965:TSM851965 UCH851965:UCI851965 UMD851965:UME851965 UVZ851965:UWA851965 VFV851965:VFW851965 VPR851965:VPS851965 VZN851965:VZO851965 WJJ851965:WJK851965 WTF851965:WTG851965 GT917501:GU917501 QP917501:QQ917501 AAL917501:AAM917501 AKH917501:AKI917501 AUD917501:AUE917501 BDZ917501:BEA917501 BNV917501:BNW917501 BXR917501:BXS917501 CHN917501:CHO917501 CRJ917501:CRK917501 DBF917501:DBG917501 DLB917501:DLC917501 DUX917501:DUY917501 EET917501:EEU917501 EOP917501:EOQ917501 EYL917501:EYM917501 FIH917501:FII917501 FSD917501:FSE917501 GBZ917501:GCA917501 GLV917501:GLW917501 GVR917501:GVS917501 HFN917501:HFO917501 HPJ917501:HPK917501 HZF917501:HZG917501 IJB917501:IJC917501 ISX917501:ISY917501 JCT917501:JCU917501 JMP917501:JMQ917501 JWL917501:JWM917501 KGH917501:KGI917501 KQD917501:KQE917501 KZZ917501:LAA917501 LJV917501:LJW917501 LTR917501:LTS917501 MDN917501:MDO917501 MNJ917501:MNK917501 MXF917501:MXG917501 NHB917501:NHC917501 NQX917501:NQY917501 OAT917501:OAU917501 OKP917501:OKQ917501 OUL917501:OUM917501 PEH917501:PEI917501 POD917501:POE917501 PXZ917501:PYA917501 QHV917501:QHW917501 QRR917501:QRS917501 RBN917501:RBO917501 RLJ917501:RLK917501 RVF917501:RVG917501 SFB917501:SFC917501 SOX917501:SOY917501 SYT917501:SYU917501 TIP917501:TIQ917501 TSL917501:TSM917501 UCH917501:UCI917501 UMD917501:UME917501 UVZ917501:UWA917501 VFV917501:VFW917501 VPR917501:VPS917501 VZN917501:VZO917501 WJJ917501:WJK917501 WTF917501:WTG917501 GT983037:GU983037 QP983037:QQ983037 AAL983037:AAM983037 AKH983037:AKI983037 AUD983037:AUE983037 BDZ983037:BEA983037 BNV983037:BNW983037 BXR983037:BXS983037 CHN983037:CHO983037 CRJ983037:CRK983037 DBF983037:DBG983037 DLB983037:DLC983037 DUX983037:DUY983037 EET983037:EEU983037 EOP983037:EOQ983037 EYL983037:EYM983037 FIH983037:FII983037 FSD983037:FSE983037 GBZ983037:GCA983037 GLV983037:GLW983037 GVR983037:GVS983037 HFN983037:HFO983037 HPJ983037:HPK983037 HZF983037:HZG983037 IJB983037:IJC983037 ISX983037:ISY983037 JCT983037:JCU983037 JMP983037:JMQ983037 JWL983037:JWM983037 KGH983037:KGI983037 KQD983037:KQE983037 KZZ983037:LAA983037 LJV983037:LJW983037 LTR983037:LTS983037 MDN983037:MDO983037 MNJ983037:MNK983037 MXF983037:MXG983037 NHB983037:NHC983037 NQX983037:NQY983037 OAT983037:OAU983037 OKP983037:OKQ983037 OUL983037:OUM983037 PEH983037:PEI983037 POD983037:POE983037 PXZ983037:PYA983037 QHV983037:QHW983037 QRR983037:QRS983037 RBN983037:RBO983037 RLJ983037:RLK983037 RVF983037:RVG983037 SFB983037:SFC983037 SOX983037:SOY983037 SYT983037:SYU983037 TIP983037:TIQ983037 TSL983037:TSM983037 UCH983037:UCI983037 UMD983037:UME983037 UVZ983037:UWA983037 VFV983037:VFW983037 VPR983037:VPS983037 VZN983037:VZO983037 WJJ983037:WJK983037 WTF983037:WTG983037 WTH983038 WJL983038 VZP983038 VPT983038 VFX983038 UWB983038 UMF983038 UCJ983038 TSN983038 TIR983038 SYV983038 SOZ983038 SFD983038 RVH983038 RLL983038 RBP983038 QRT983038 QHX983038 PYB983038 POF983038 PEJ983038 OUN983038 OKR983038 OAV983038 NQZ983038 NHD983038 MXH983038 MNL983038 MDP983038 LTT983038 LJX983038 LAB983038 KQF983038 KGJ983038 JWN983038 JMR983038 JCV983038 ISZ983038 IJD983038 HZH983038 HPL983038 HFP983038 GVT983038 GLX983038 GCB983038 FSF983038 FIJ983038 EYN983038 EOR983038 EEV983038 DUZ983038 DLD983038 DBH983038 CRL983038 CHP983038 BXT983038 BNX983038 BEB983038 AUF983038 AKJ983038 AAN983038 QR983038 GV983038 WTH917502 WJL917502 VZP917502 VPT917502 VFX917502 UWB917502 UMF917502 UCJ917502 TSN917502 TIR917502 SYV917502 SOZ917502 SFD917502 RVH917502 RLL917502 RBP917502 QRT917502 QHX917502 PYB917502 POF917502 PEJ917502 OUN917502 OKR917502 OAV917502 NQZ917502 NHD917502 MXH917502 MNL917502 MDP917502 LTT917502 LJX917502 LAB917502 KQF917502 KGJ917502 JWN917502 JMR917502 JCV917502 ISZ917502 IJD917502 HZH917502 HPL917502 HFP917502 GVT917502 GLX917502 GCB917502 FSF917502 FIJ917502 EYN917502 EOR917502 EEV917502 DUZ917502 DLD917502 DBH917502 CRL917502 CHP917502 BXT917502 BNX917502 BEB917502 AUF917502 AKJ917502 AAN917502 QR917502 GV917502 WTH851966 WJL851966 VZP851966 VPT851966 VFX851966 UWB851966 UMF851966 UCJ851966 TSN851966 TIR851966 SYV851966 SOZ851966 SFD851966 RVH851966 RLL851966 RBP851966 QRT851966 QHX851966 PYB851966 POF851966 PEJ851966 OUN851966 OKR851966 OAV851966 NQZ851966 NHD851966 MXH851966 MNL851966 MDP851966 LTT851966 LJX851966 LAB851966 KQF851966 KGJ851966 JWN851966 JMR851966 JCV851966 ISZ851966 IJD851966 HZH851966 HPL851966 HFP851966 GVT851966 GLX851966 GCB851966 FSF851966 FIJ851966 EYN851966 EOR851966 EEV851966 DUZ851966 DLD851966 DBH851966 CRL851966 CHP851966 BXT851966 BNX851966 BEB851966 AUF851966 AKJ851966 AAN851966 QR851966 GV851966 WTH786430 WJL786430 VZP786430 VPT786430 VFX786430 UWB786430 UMF786430 UCJ786430 TSN786430 TIR786430 SYV786430 SOZ786430 SFD786430 RVH786430 RLL786430 RBP786430 QRT786430 QHX786430 PYB786430 POF786430 PEJ786430 OUN786430 OKR786430 OAV786430 NQZ786430 NHD786430 MXH786430 MNL786430 MDP786430 LTT786430 LJX786430 LAB786430 KQF786430 KGJ786430 JWN786430 JMR786430 JCV786430 ISZ786430 IJD786430 HZH786430 HPL786430 HFP786430 GVT786430 GLX786430 GCB786430 FSF786430 FIJ786430 EYN786430 EOR786430 EEV786430 DUZ786430 DLD786430 DBH786430 CRL786430 CHP786430 BXT786430 BNX786430 BEB786430 AUF786430 AKJ786430 AAN786430 QR786430 GV786430 WTH720894 WJL720894 VZP720894 VPT720894 VFX720894 UWB720894 UMF720894 UCJ720894 TSN720894 TIR720894 SYV720894 SOZ720894 SFD720894 RVH720894 RLL720894 RBP720894 QRT720894 QHX720894 PYB720894 POF720894 PEJ720894 OUN720894 OKR720894 OAV720894 NQZ720894 NHD720894 MXH720894 MNL720894 MDP720894 LTT720894 LJX720894 LAB720894 KQF720894 KGJ720894 JWN720894 JMR720894 JCV720894 ISZ720894 IJD720894 HZH720894 HPL720894 HFP720894 GVT720894 GLX720894 GCB720894 FSF720894 FIJ720894 EYN720894 EOR720894 EEV720894 DUZ720894 DLD720894 DBH720894 CRL720894 CHP720894 BXT720894 BNX720894 BEB720894 AUF720894 AKJ720894 AAN720894 QR720894 GV720894 WTH655358 WJL655358 VZP655358 VPT655358 VFX655358 UWB655358 UMF655358 UCJ655358 TSN655358 TIR655358 SYV655358 SOZ655358 SFD655358 RVH655358 RLL655358 RBP655358 QRT655358 QHX655358 PYB655358 POF655358 PEJ655358 OUN655358 OKR655358 OAV655358 NQZ655358 NHD655358 MXH655358 MNL655358 MDP655358 LTT655358 LJX655358 LAB655358 KQF655358 KGJ655358 JWN655358 JMR655358 JCV655358 ISZ655358 IJD655358 HZH655358 HPL655358 HFP655358 GVT655358 GLX655358 GCB655358 FSF655358 FIJ655358 EYN655358 EOR655358 EEV655358 DUZ655358 DLD655358 DBH655358 CRL655358 CHP655358 BXT655358 BNX655358 BEB655358 AUF655358 AKJ655358 AAN655358 QR655358 GV655358 WTH589822 WJL589822 VZP589822 VPT589822 VFX589822 UWB589822 UMF589822 UCJ589822 TSN589822 TIR589822 SYV589822 SOZ589822 SFD589822 RVH589822 RLL589822 RBP589822 QRT589822 QHX589822 PYB589822 POF589822 PEJ589822 OUN589822 OKR589822 OAV589822 NQZ589822 NHD589822 MXH589822 MNL589822 MDP589822 LTT589822 LJX589822 LAB589822 KQF589822 KGJ589822 JWN589822 JMR589822 JCV589822 ISZ589822 IJD589822 HZH589822 HPL589822 HFP589822 GVT589822 GLX589822 GCB589822 FSF589822 FIJ589822 EYN589822 EOR589822 EEV589822 DUZ589822 DLD589822 DBH589822 CRL589822 CHP589822 BXT589822 BNX589822 BEB589822 AUF589822 AKJ589822 AAN589822 QR589822 GV589822 WTH524286 WJL524286 VZP524286 VPT524286 VFX524286 UWB524286 UMF524286 UCJ524286 TSN524286 TIR524286 SYV524286 SOZ524286 SFD524286 RVH524286 RLL524286 RBP524286 QRT524286 QHX524286 PYB524286 POF524286 PEJ524286 OUN524286 OKR524286 OAV524286 NQZ524286 NHD524286 MXH524286 MNL524286 MDP524286 LTT524286 LJX524286 LAB524286 KQF524286 KGJ524286 JWN524286 JMR524286 JCV524286 ISZ524286 IJD524286 HZH524286 HPL524286 HFP524286 GVT524286 GLX524286 GCB524286 FSF524286 FIJ524286 EYN524286 EOR524286 EEV524286 DUZ524286 DLD524286 DBH524286 CRL524286 CHP524286 BXT524286 BNX524286 BEB524286 AUF524286 AKJ524286 AAN524286 QR524286 GV524286 WTH458750 WJL458750 VZP458750 VPT458750 VFX458750 UWB458750 UMF458750 UCJ458750 TSN458750 TIR458750 SYV458750 SOZ458750 SFD458750 RVH458750 RLL458750 RBP458750 QRT458750 QHX458750 PYB458750 POF458750 PEJ458750 OUN458750 OKR458750 OAV458750 NQZ458750 NHD458750 MXH458750 MNL458750 MDP458750 LTT458750 LJX458750 LAB458750 KQF458750 KGJ458750 JWN458750 JMR458750 JCV458750 ISZ458750 IJD458750 HZH458750 HPL458750 HFP458750 GVT458750 GLX458750 GCB458750 FSF458750 FIJ458750 EYN458750 EOR458750 EEV458750 DUZ458750 DLD458750 DBH458750 CRL458750 CHP458750 BXT458750 BNX458750 BEB458750 AUF458750 AKJ458750 AAN458750 QR458750 GV458750 WTH393214 WJL393214 VZP393214 VPT393214 VFX393214 UWB393214 UMF393214 UCJ393214 TSN393214 TIR393214 SYV393214 SOZ393214 SFD393214 RVH393214 RLL393214 RBP393214 QRT393214 QHX393214 PYB393214 POF393214 PEJ393214 OUN393214 OKR393214 OAV393214 NQZ393214 NHD393214 MXH393214 MNL393214 MDP393214 LTT393214 LJX393214 LAB393214 KQF393214 KGJ393214 JWN393214 JMR393214 JCV393214 ISZ393214 IJD393214 HZH393214 HPL393214 HFP393214 GVT393214 GLX393214 GCB393214 FSF393214 FIJ393214 EYN393214 EOR393214 EEV393214 DUZ393214 DLD393214 DBH393214 CRL393214 CHP393214 BXT393214 BNX393214 BEB393214 AUF393214 AKJ393214 AAN393214 QR393214 GV393214 WTH327678 WJL327678 VZP327678 VPT327678 VFX327678 UWB327678 UMF327678 UCJ327678 TSN327678 TIR327678 SYV327678 SOZ327678 SFD327678 RVH327678 RLL327678 RBP327678 QRT327678 QHX327678 PYB327678 POF327678 PEJ327678 OUN327678 OKR327678 OAV327678 NQZ327678 NHD327678 MXH327678 MNL327678 MDP327678 LTT327678 LJX327678 LAB327678 KQF327678 KGJ327678 JWN327678 JMR327678 JCV327678 ISZ327678 IJD327678 HZH327678 HPL327678 HFP327678 GVT327678 GLX327678 GCB327678 FSF327678 FIJ327678 EYN327678 EOR327678 EEV327678 DUZ327678 DLD327678 DBH327678 CRL327678 CHP327678 BXT327678 BNX327678 BEB327678 AUF327678 AKJ327678 AAN327678 QR327678 GV327678 WTH262142 WJL262142 VZP262142 VPT262142 VFX262142 UWB262142 UMF262142 UCJ262142 TSN262142 TIR262142 SYV262142 SOZ262142 SFD262142 RVH262142 RLL262142 RBP262142 QRT262142 QHX262142 PYB262142 POF262142 PEJ262142 OUN262142 OKR262142 OAV262142 NQZ262142 NHD262142 MXH262142 MNL262142 MDP262142 LTT262142 LJX262142 LAB262142 KQF262142 KGJ262142 JWN262142 JMR262142 JCV262142 ISZ262142 IJD262142 HZH262142 HPL262142 HFP262142 GVT262142 GLX262142 GCB262142 FSF262142 FIJ262142 EYN262142 EOR262142 EEV262142 DUZ262142 DLD262142 DBH262142 CRL262142 CHP262142 BXT262142 BNX262142 BEB262142 AUF262142 AKJ262142 AAN262142 QR262142 GV262142 WTH196606 WJL196606 VZP196606 VPT196606 VFX196606 UWB196606 UMF196606 UCJ196606 TSN196606 TIR196606 SYV196606 SOZ196606 SFD196606 RVH196606 RLL196606 RBP196606 QRT196606 QHX196606 PYB196606 POF196606 PEJ196606 OUN196606 OKR196606 OAV196606 NQZ196606 NHD196606 MXH196606 MNL196606 MDP196606 LTT196606 LJX196606 LAB196606 KQF196606 KGJ196606 JWN196606 JMR196606 JCV196606 ISZ196606 IJD196606 HZH196606 HPL196606 HFP196606 GVT196606 GLX196606 GCB196606 FSF196606 FIJ196606 EYN196606 EOR196606 EEV196606 DUZ196606 DLD196606 DBH196606 CRL196606 CHP196606 BXT196606 BNX196606 BEB196606 AUF196606 AKJ196606 AAN196606 QR196606 GV196606 WTH131070 WJL131070 VZP131070 VPT131070 VFX131070 UWB131070 UMF131070 UCJ131070 TSN131070 TIR131070 SYV131070 SOZ131070 SFD131070 RVH131070 RLL131070 RBP131070 QRT131070 QHX131070 PYB131070 POF131070 PEJ131070 OUN131070 OKR131070 OAV131070 NQZ131070 NHD131070 MXH131070 MNL131070 MDP131070 LTT131070 LJX131070 LAB131070 KQF131070 KGJ131070 JWN131070 JMR131070 JCV131070 ISZ131070 IJD131070 HZH131070 HPL131070 HFP131070 GVT131070 GLX131070 GCB131070 FSF131070 FIJ131070 EYN131070 EOR131070 EEV131070 DUZ131070 DLD131070 DBH131070 CRL131070 CHP131070 BXT131070 BNX131070 BEB131070 AUF131070 AKJ131070 AAN131070 QR131070 GV131070 WTH65534 WJL65534 VZP65534 VPT65534 VFX65534 UWB65534 UMF65534 UCJ65534 TSN65534 TIR65534 SYV65534 SOZ65534 SFD65534 RVH65534 RLL65534 RBP65534 QRT65534 QHX65534 PYB65534 POF65534 PEJ65534 OUN65534 OKR65534 OAV65534 NQZ65534 NHD65534 MXH65534 MNL65534 MDP65534 LTT65534 LJX65534 LAB65534 KQF65534 KGJ65534 JWN65534 JMR65534 JCV65534 ISZ65534 IJD65534 HZH65534 HPL65534 HFP65534 GVT65534 GLX65534 GCB65534 FSF65534 FIJ65534 EYN65534 EOR65534 EEV65534 DUZ65534 DLD65534 DBH65534 CRL65534 CHP65534 BXT65534 BNX65534 BEB65534 AUF65534 AKJ65534 AAN65534 QR65534 GV30:GV78 WTH30:WTH78 WJL30:WJL78 VZP30:VZP78 VPT30:VPT78 VFX30:VFX78 UWB30:UWB78 UMF30:UMF78 UCJ30:UCJ78 TSN30:TSN78 TIR30:TIR78 SYV30:SYV78 SOZ30:SOZ78 SFD30:SFD78 RVH30:RVH78 RLL30:RLL78 RBP30:RBP78 QRT30:QRT78 QHX30:QHX78 PYB30:PYB78 POF30:POF78 PEJ30:PEJ78 OUN30:OUN78 OKR30:OKR78 OAV30:OAV78 NQZ30:NQZ78 NHD30:NHD78 MXH30:MXH78 MNL30:MNL78 MDP30:MDP78 LTT30:LTT78 LJX30:LJX78 LAB30:LAB78 KQF30:KQF78 KGJ30:KGJ78 JWN30:JWN78 JMR30:JMR78 JCV30:JCV78 ISZ30:ISZ78 IJD30:IJD78 HZH30:HZH78 HPL30:HPL78 HFP30:HFP78 GVT30:GVT78 GLX30:GLX78 GCB30:GCB78 FSF30:FSF78 FIJ30:FIJ78 EYN30:EYN78 EOR30:EOR78 EEV30:EEV78 DUZ30:DUZ78 DLD30:DLD78 DBH30:DBH78 CRL30:CRL78 CHP30:CHP78 BXT30:BXT78 BNX30:BNX78 BEB30:BEB78 AUF30:AUF78 AKJ30:AKJ78 AAN30:AAN78 QR30:QR78 GT20:GT22 QP20:QP22 AAL20:AAL22 AKH20:AKH22 AUD20:AUD22 BDZ20:BDZ22 BNV20:BNV22 BXR20:BXR22 CHN20:CHN22 CRJ20:CRJ22 DBF20:DBF22 DLB20:DLB22 DUX20:DUX22 EET20:EET22 EOP20:EOP22 EYL20:EYL22 FIH20:FIH22 FSD20:FSD22 GBZ20:GBZ22 GLV20:GLV22 GVR20:GVR22 HFN20:HFN22 HPJ20:HPJ22 HZF20:HZF22 IJB20:IJB22 ISX20:ISX22 JCT20:JCT22 JMP20:JMP22 JWL20:JWL22 KGH20:KGH22 KQD20:KQD22 KZZ20:KZZ22 LJV20:LJV22 LTR20:LTR22 MDN20:MDN22 MNJ20:MNJ22 MXF20:MXF22 NHB20:NHB22 NQX20:NQX22 OAT20:OAT22 OKP20:OKP22 OUL20:OUL22 PEH20:PEH22 POD20:POD22 PXZ20:PXZ22 QHV20:QHV22 QRR20:QRR22 RBN20:RBN22 RLJ20:RLJ22 RVF20:RVF22 SFB20:SFB22 SOX20:SOX22 SYT20:SYT22 TIP20:TIP22 TSL20:TSL22 UCH20:UCH22 UMD20:UMD22 UVZ20:UVZ22 VFV20:VFV22 VPR20:VPR22 VZN20:VZN22 WJJ20:WJJ22 WTF20:WTF22 I983038 I917502 I851966 I786430 I720894 I655358 I589822 I524286 I458750 I393214 I327678 I262142 I196606 I131070 I65534 G65533:H65533 G131069:H131069 G196605:H196605 G262141:H262141 G327677:H327677 G393213:H393213 G458749:H458749 G524285:H524285 G589821:H589821 G655357:H655357 G720893:H720893 G786429:H786429 G851965:H851965 G917501:H917501 G983037:H983037 P65533:S65533 P131069:S131069 P196605:S196605 P262141:S262141 P327677:S327677 P393213:S393213 P458749:S458749 P524285:S524285 P589821:S589821 P655357:S655357 P720893:S720893 P786429:S786429 P851965:S851965 P917501:S917501 P983037:S983037 G983034 G917498 G851962 G786426 G720890 G655354 G589818 G524282 G458746 G393210 G327674 G262138 G196602 G131066 G65530">
      <formula1>#REF!</formula1>
    </dataValidation>
    <dataValidation type="list" allowBlank="1" showInputMessage="1" showErrorMessage="1" sqref="H56">
      <formula1>$AZ$5:$BC$5</formula1>
    </dataValidation>
    <dataValidation type="list" allowBlank="1" showInputMessage="1" showErrorMessage="1" sqref="I56">
      <formula1>$AZ$4:$BD$4</formula1>
    </dataValidation>
    <dataValidation type="list" allowBlank="1" showInputMessage="1" showErrorMessage="1" sqref="I52 I54">
      <formula1>$AZ$2:$BA$2</formula1>
    </dataValidation>
    <dataValidation type="list" allowBlank="1" showInputMessage="1" showErrorMessage="1" sqref="G40:G42 G46:G48">
      <formula1>$AH$2:$AQ$2</formula1>
    </dataValidation>
    <dataValidation type="list" allowBlank="1" showInputMessage="1" showErrorMessage="1" sqref="I42:K42 H40:H42">
      <formula1>$Y$4:$Z$4</formula1>
    </dataValidation>
    <dataValidation type="list" allowBlank="1" showInputMessage="1" showErrorMessage="1" sqref="L46:N48">
      <formula1>$AS$2:$AT$2</formula1>
    </dataValidation>
    <dataValidation type="list" allowBlank="1" showInputMessage="1" showErrorMessage="1" sqref="L40:N42">
      <formula1>$AB$10:$AD$10</formula1>
    </dataValidation>
    <dataValidation type="list" allowBlank="1" showInputMessage="1" showErrorMessage="1" sqref="H46:K48">
      <formula1>$AB$11:$AI$11</formula1>
    </dataValidation>
  </dataValidations>
  <pageMargins left="0.59055118110236227" right="0.19685039370078741" top="0.59055118110236227"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5</xdr:col>
                    <xdr:colOff>266700</xdr:colOff>
                    <xdr:row>32</xdr:row>
                    <xdr:rowOff>171450</xdr:rowOff>
                  </from>
                  <to>
                    <xdr:col>6</xdr:col>
                    <xdr:colOff>28575</xdr:colOff>
                    <xdr:row>34</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5</xdr:col>
                    <xdr:colOff>266700</xdr:colOff>
                    <xdr:row>33</xdr:row>
                    <xdr:rowOff>171450</xdr:rowOff>
                  </from>
                  <to>
                    <xdr:col>6</xdr:col>
                    <xdr:colOff>28575</xdr:colOff>
                    <xdr:row>35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AH88"/>
  <sheetViews>
    <sheetView showGridLines="0" zoomScale="85" zoomScaleNormal="85" workbookViewId="0">
      <selection activeCell="T46" sqref="T46"/>
    </sheetView>
  </sheetViews>
  <sheetFormatPr defaultRowHeight="13.5"/>
  <cols>
    <col min="1" max="1" width="1.625" style="252" customWidth="1"/>
    <col min="2" max="2" width="4.25" style="252" customWidth="1"/>
    <col min="3" max="3" width="32.625" style="252" customWidth="1"/>
    <col min="4" max="4" width="11.125" style="252" customWidth="1"/>
    <col min="5" max="5" width="21.75" style="252" customWidth="1"/>
    <col min="6" max="6" width="9" style="252" customWidth="1"/>
    <col min="7" max="7" width="11.5" style="252" customWidth="1"/>
    <col min="8" max="8" width="14.75" style="252" customWidth="1"/>
    <col min="9" max="10" width="9.25" style="252" customWidth="1"/>
    <col min="11" max="11" width="9" style="252" customWidth="1"/>
    <col min="12" max="12" width="12.875" style="252" customWidth="1"/>
    <col min="13" max="14" width="9" style="252" customWidth="1"/>
    <col min="15" max="15" width="9.375" style="252" customWidth="1"/>
    <col min="16" max="19" width="9" style="252" customWidth="1"/>
    <col min="20" max="20" width="22.625" style="252" customWidth="1"/>
    <col min="21" max="21" width="20.625" style="252" customWidth="1"/>
    <col min="22" max="22" width="13.625" style="252" customWidth="1"/>
    <col min="23" max="23" width="20.625" style="252" customWidth="1"/>
    <col min="24" max="24" width="17.25" style="252" customWidth="1"/>
    <col min="25" max="25" width="20.625" style="252" customWidth="1"/>
    <col min="26" max="27" width="21.125" style="252" customWidth="1"/>
    <col min="28" max="34" width="9" style="252" customWidth="1"/>
    <col min="35" max="16384" width="9" style="252"/>
  </cols>
  <sheetData>
    <row r="1" spans="2:33">
      <c r="B1" s="128"/>
      <c r="C1" s="11" t="s">
        <v>221</v>
      </c>
    </row>
    <row r="2" spans="2:33">
      <c r="B2" s="127"/>
      <c r="C2" s="11" t="s">
        <v>47</v>
      </c>
      <c r="D2" s="11"/>
    </row>
    <row r="3" spans="2:33" ht="15" customHeight="1">
      <c r="B3" s="98"/>
      <c r="C3" s="11" t="s">
        <v>222</v>
      </c>
      <c r="D3" s="11"/>
      <c r="E3"/>
      <c r="F3"/>
      <c r="G3"/>
      <c r="H3"/>
      <c r="I3" s="375" t="s">
        <v>523</v>
      </c>
      <c r="J3" s="447" t="s">
        <v>619</v>
      </c>
      <c r="K3" s="289">
        <f>'2_メイン'!G20</f>
        <v>0</v>
      </c>
      <c r="M3" s="309" t="str">
        <f>IFERROR(K6/K3,"")</f>
        <v/>
      </c>
      <c r="N3" s="411" t="s">
        <v>602</v>
      </c>
      <c r="O3" s="445" t="s">
        <v>593</v>
      </c>
      <c r="T3" s="256" t="s">
        <v>374</v>
      </c>
      <c r="U3" s="289">
        <f>SUM(F11:F40)</f>
        <v>0</v>
      </c>
      <c r="W3" s="256" t="s">
        <v>411</v>
      </c>
      <c r="X3" s="256">
        <f>IFERROR(IF('2_メイン'!G20="",0,IF('2_メイン'!G20&gt;=10000,3,IF('2_メイン'!G20&gt;3000,2,1))),"")</f>
        <v>0</v>
      </c>
      <c r="Z3" s="256"/>
      <c r="AA3" s="239">
        <v>11</v>
      </c>
      <c r="AB3" s="239">
        <v>12</v>
      </c>
      <c r="AC3" s="239">
        <v>13</v>
      </c>
      <c r="AD3" s="239">
        <v>21</v>
      </c>
      <c r="AE3" s="239">
        <v>22</v>
      </c>
      <c r="AF3" s="239">
        <v>23</v>
      </c>
    </row>
    <row r="4" spans="2:33" ht="15" customHeight="1">
      <c r="B4" s="121"/>
      <c r="C4" s="70" t="s">
        <v>223</v>
      </c>
      <c r="D4" s="11"/>
      <c r="E4"/>
      <c r="F4"/>
      <c r="G4"/>
      <c r="H4"/>
      <c r="I4" s="376" t="s">
        <v>524</v>
      </c>
      <c r="J4" s="447" t="s">
        <v>619</v>
      </c>
      <c r="K4" s="289">
        <f>K3-SUM(F11:F50)-SUM(F56:F65)</f>
        <v>0</v>
      </c>
      <c r="M4" s="760" t="str">
        <f>IFERROR(IF(X5="○",Z4,HLOOKUP(X6,AA3:AF4,2)),"")</f>
        <v/>
      </c>
      <c r="N4" s="760"/>
      <c r="O4" s="446" t="s">
        <v>409</v>
      </c>
      <c r="P4" s="419"/>
      <c r="Q4" s="422"/>
      <c r="R4" s="422"/>
      <c r="T4" s="418" t="s">
        <v>592</v>
      </c>
      <c r="U4" s="367">
        <f>SUMIF(D11:D50,$T$9,G11:G50)</f>
        <v>0</v>
      </c>
      <c r="W4" s="256" t="s">
        <v>412</v>
      </c>
      <c r="X4" s="256" t="str">
        <f>IFERROR(IF(K3="","",IF(U4/K3&gt;=0.5,1,2)),"")</f>
        <v/>
      </c>
      <c r="Z4" s="256" t="s">
        <v>420</v>
      </c>
      <c r="AA4" s="59" t="s">
        <v>576</v>
      </c>
      <c r="AB4" s="59" t="s">
        <v>414</v>
      </c>
      <c r="AC4" s="59" t="s">
        <v>415</v>
      </c>
      <c r="AD4" s="59" t="s">
        <v>416</v>
      </c>
      <c r="AE4" s="59" t="s">
        <v>417</v>
      </c>
      <c r="AF4" s="59" t="s">
        <v>418</v>
      </c>
    </row>
    <row r="5" spans="2:33" ht="15" customHeight="1">
      <c r="D5" s="70"/>
      <c r="E5"/>
      <c r="F5"/>
      <c r="G5"/>
      <c r="H5"/>
      <c r="I5" s="377" t="s">
        <v>525</v>
      </c>
      <c r="J5" s="447" t="s">
        <v>619</v>
      </c>
      <c r="K5" s="289">
        <f>SUM(F11:F50)+SUM(F57:F65)</f>
        <v>0</v>
      </c>
      <c r="L5" s="766" t="s">
        <v>581</v>
      </c>
      <c r="M5" s="766"/>
      <c r="N5" s="766"/>
      <c r="O5" s="766"/>
      <c r="P5" s="419"/>
      <c r="Q5" s="422"/>
      <c r="R5" s="422"/>
      <c r="T5" s="256" t="s">
        <v>410</v>
      </c>
      <c r="U5" s="256">
        <f>SUMIF(E11:E50,$T$13,G11:G50)</f>
        <v>0</v>
      </c>
      <c r="W5" s="256" t="s">
        <v>413</v>
      </c>
      <c r="X5" s="310" t="str">
        <f>IFERROR(IF(AND(X4=1,U5/U4&gt;=0.5),"○",""),"")</f>
        <v/>
      </c>
    </row>
    <row r="6" spans="2:33" ht="15" customHeight="1">
      <c r="E6"/>
      <c r="F6"/>
      <c r="G6"/>
      <c r="H6"/>
      <c r="I6" s="378" t="s">
        <v>526</v>
      </c>
      <c r="J6" s="447" t="s">
        <v>618</v>
      </c>
      <c r="K6" s="367">
        <f>SUM(K11:K50)+SUM(K56:K65)</f>
        <v>0</v>
      </c>
      <c r="L6" s="766"/>
      <c r="M6" s="766"/>
      <c r="N6" s="766"/>
      <c r="O6" s="766"/>
      <c r="P6" s="419"/>
      <c r="Q6" s="422"/>
      <c r="R6" s="422"/>
      <c r="W6" s="256" t="s">
        <v>419</v>
      </c>
      <c r="X6" s="256" t="str">
        <f>IFERROR(X4*10+X3,"")</f>
        <v/>
      </c>
      <c r="AB6" s="401" t="s">
        <v>577</v>
      </c>
    </row>
    <row r="7" spans="2:33" ht="15" customHeight="1">
      <c r="B7" s="424" t="s">
        <v>594</v>
      </c>
      <c r="C7" s="306"/>
      <c r="D7" s="306"/>
      <c r="H7" s="66" t="s">
        <v>617</v>
      </c>
      <c r="I7" s="266"/>
      <c r="J7" s="266"/>
      <c r="L7" s="766"/>
      <c r="M7" s="766"/>
      <c r="N7" s="766"/>
      <c r="O7" s="766"/>
      <c r="P7" s="419"/>
      <c r="Q7" s="422"/>
      <c r="R7" s="422"/>
      <c r="W7" s="413" t="s">
        <v>582</v>
      </c>
      <c r="X7" s="256">
        <f>IFERROR(IF(SUMIF(D11:D50,$T$9,G11:G50)=0,0,IF(SUMIF(D11:D40,$T$9,G11:G40)&gt;=10000,3,IF(SUMIF(D11:D40,$T$9,G11:G40)&gt;3000,2,1))),"")</f>
        <v>0</v>
      </c>
      <c r="Y7" s="410" t="s">
        <v>583</v>
      </c>
      <c r="AB7" s="261" t="s">
        <v>578</v>
      </c>
      <c r="AC7" s="59" t="s">
        <v>576</v>
      </c>
      <c r="AD7" s="59" t="s">
        <v>169</v>
      </c>
      <c r="AE7" s="59" t="s">
        <v>170</v>
      </c>
    </row>
    <row r="8" spans="2:33" ht="5.25" customHeight="1">
      <c r="D8" s="402"/>
      <c r="L8" s="766"/>
      <c r="M8" s="766"/>
      <c r="N8" s="766"/>
      <c r="O8" s="766"/>
      <c r="P8" s="419"/>
      <c r="Q8" s="422"/>
      <c r="R8" s="422"/>
      <c r="T8" s="252" t="s">
        <v>375</v>
      </c>
      <c r="AB8" s="255" t="s">
        <v>579</v>
      </c>
      <c r="AC8" s="256">
        <v>1</v>
      </c>
      <c r="AD8" s="256">
        <v>2</v>
      </c>
      <c r="AE8" s="256">
        <v>3</v>
      </c>
    </row>
    <row r="9" spans="2:33" ht="15" customHeight="1">
      <c r="B9" s="767" t="s">
        <v>658</v>
      </c>
      <c r="C9" s="767" t="s">
        <v>380</v>
      </c>
      <c r="D9" s="769" t="s">
        <v>595</v>
      </c>
      <c r="E9" s="770"/>
      <c r="F9" s="773" t="s">
        <v>597</v>
      </c>
      <c r="G9" s="773" t="s">
        <v>598</v>
      </c>
      <c r="H9" s="773" t="s">
        <v>623</v>
      </c>
      <c r="I9" s="761" t="s">
        <v>528</v>
      </c>
      <c r="J9" s="763" t="s">
        <v>620</v>
      </c>
      <c r="K9" s="764" t="s">
        <v>621</v>
      </c>
      <c r="L9" s="781" t="s">
        <v>622</v>
      </c>
      <c r="M9" s="422"/>
      <c r="N9" s="422"/>
      <c r="O9" s="422"/>
      <c r="P9" s="422"/>
      <c r="Q9" s="422"/>
      <c r="R9" s="422"/>
      <c r="T9" s="256" t="s">
        <v>376</v>
      </c>
      <c r="U9" s="256" t="s">
        <v>377</v>
      </c>
      <c r="V9" s="256" t="s">
        <v>378</v>
      </c>
      <c r="W9" s="418" t="s">
        <v>279</v>
      </c>
      <c r="X9" s="256" t="s">
        <v>408</v>
      </c>
      <c r="Y9" s="418" t="s">
        <v>407</v>
      </c>
      <c r="Z9" s="420"/>
      <c r="AB9" s="255" t="s">
        <v>580</v>
      </c>
      <c r="AC9" s="320">
        <v>65.400000000000006</v>
      </c>
      <c r="AD9" s="320">
        <v>65.400000000000006</v>
      </c>
      <c r="AE9" s="320">
        <v>65.400000000000006</v>
      </c>
    </row>
    <row r="10" spans="2:33" ht="63.95" customHeight="1">
      <c r="B10" s="768"/>
      <c r="C10" s="768"/>
      <c r="D10" s="771"/>
      <c r="E10" s="772"/>
      <c r="F10" s="774"/>
      <c r="G10" s="774"/>
      <c r="H10" s="774"/>
      <c r="I10" s="762"/>
      <c r="J10" s="762"/>
      <c r="K10" s="765"/>
      <c r="L10" s="781"/>
      <c r="N10" s="419"/>
      <c r="O10" s="419"/>
      <c r="P10" s="419"/>
      <c r="Q10" s="419"/>
      <c r="T10" s="317" t="s">
        <v>423</v>
      </c>
    </row>
    <row r="11" spans="2:33" ht="14.25" customHeight="1">
      <c r="B11" s="428">
        <v>1</v>
      </c>
      <c r="C11" s="635"/>
      <c r="D11" s="636" t="s">
        <v>673</v>
      </c>
      <c r="E11" s="637"/>
      <c r="F11" s="638"/>
      <c r="G11" s="289" t="str">
        <f t="shared" ref="G11:G20" si="0">IF(OR(F11="",F11=""),"",F11+J11)</f>
        <v/>
      </c>
      <c r="H11" s="403" t="str">
        <f t="shared" ref="H11:H50" si="1">IF(OR(D11="",F11=""),"",IF(D11=$T$11,VLOOKUP(E11,$T$12:$U$13,2,FALSE),IF(D11=$V$11,VLOOKUP(E11,$V$12:$W$18,2,FALSE),IF(D11=$X$11,VLOOKUP(E11,$X$12:$Y$18,2,FALSE),IF(D11=$Z$11,VLOOKUP(E11,$Z$12:$AA$23,2,FALSE),IF(D11=$AB$11,$AC$12,IF(D11=$AD$11,$AE$12,"")))))))</f>
        <v/>
      </c>
      <c r="I11" s="256">
        <f t="shared" ref="I11:I50" si="2">IFERROR(F11/$K$5,0)</f>
        <v>0</v>
      </c>
      <c r="J11" s="256">
        <f t="shared" ref="J11:J50" si="3">$K$4*I11</f>
        <v>0</v>
      </c>
      <c r="K11" s="367">
        <f>IFERROR(L11*G11,0)</f>
        <v>0</v>
      </c>
      <c r="L11" s="280" t="str">
        <f>IF(OR(D11="",F11=""),"",IF(AND(D11=$T$11,E11=$T$12),HLOOKUP($X$7,$AC$8:$AE$9,2,FALSE),IF(AND(D11=$T$11,E11=$T$13),$U$13,IF(D11=$V$11,VLOOKUP(E11,$V$12:$W$18,2,FALSE),IF(D11=$X$11,VLOOKUP(E11,$X$12:$Y$18,2,FALSE),IF(D11=$Z$11,VLOOKUP(E11,$Z$12:$AA$23,2,FALSE),IF(D11=$AB$11,$AC$12,IF(D11=$AD$11,$AE$12,""))))))))</f>
        <v/>
      </c>
      <c r="N11" s="419"/>
      <c r="O11" s="419">
        <f>281.96/9</f>
        <v>31.328888888888887</v>
      </c>
      <c r="P11" s="419"/>
      <c r="Q11" s="419"/>
      <c r="T11" s="256" t="s">
        <v>376</v>
      </c>
      <c r="U11" s="308" t="s">
        <v>382</v>
      </c>
      <c r="V11" s="256" t="s">
        <v>377</v>
      </c>
      <c r="W11" s="308" t="s">
        <v>382</v>
      </c>
      <c r="X11" s="256" t="s">
        <v>378</v>
      </c>
      <c r="Y11" s="308" t="s">
        <v>382</v>
      </c>
      <c r="Z11" s="256" t="s">
        <v>279</v>
      </c>
      <c r="AA11" s="256" t="s">
        <v>270</v>
      </c>
      <c r="AB11" s="286" t="s">
        <v>407</v>
      </c>
      <c r="AC11" s="256" t="s">
        <v>270</v>
      </c>
      <c r="AD11" s="334" t="s">
        <v>408</v>
      </c>
      <c r="AE11" s="256" t="s">
        <v>270</v>
      </c>
      <c r="AF11" s="266"/>
      <c r="AG11" s="421"/>
    </row>
    <row r="12" spans="2:33" ht="14.25" customHeight="1">
      <c r="B12" s="428">
        <v>2</v>
      </c>
      <c r="C12" s="635"/>
      <c r="D12" s="636"/>
      <c r="E12" s="637"/>
      <c r="F12" s="638"/>
      <c r="G12" s="289" t="str">
        <f t="shared" si="0"/>
        <v/>
      </c>
      <c r="H12" s="403" t="str">
        <f t="shared" si="1"/>
        <v/>
      </c>
      <c r="I12" s="256">
        <f t="shared" si="2"/>
        <v>0</v>
      </c>
      <c r="J12" s="256">
        <f t="shared" si="3"/>
        <v>0</v>
      </c>
      <c r="K12" s="367">
        <f t="shared" ref="K12:K40" si="4">IFERROR(L12*G12,0)</f>
        <v>0</v>
      </c>
      <c r="L12" s="280" t="str">
        <f t="shared" ref="L12:L50" si="5">IF(OR(D12="",F12=""),"",IF(AND(D12=$T$11,E12=$T$12),HLOOKUP($X$7,$AC$8:$AE$9,2,FALSE),IF(AND(D12=$T$11,E12=$T$13),$U$13,IF(D12=$V$11,VLOOKUP(E12,$V$12:$W$18,2,FALSE),IF(D12=$X$11,VLOOKUP(E12,$X$12:$Y$18,2,FALSE),IF(D12=$Z$11,VLOOKUP(E12,$Z$12:$AA$23,2,FALSE),IF(D12=$AB$11,$AC$12,IF(D12=$AD$11,$AE$12,""))))))))</f>
        <v/>
      </c>
      <c r="N12" s="419"/>
      <c r="O12" s="419"/>
      <c r="P12" s="419"/>
      <c r="Q12" s="419"/>
      <c r="T12" s="256" t="s">
        <v>381</v>
      </c>
      <c r="U12" s="318">
        <v>81.3</v>
      </c>
      <c r="V12" s="365" t="s">
        <v>383</v>
      </c>
      <c r="W12" s="319">
        <v>585.4</v>
      </c>
      <c r="X12" s="365" t="s">
        <v>384</v>
      </c>
      <c r="Y12" s="320">
        <v>596.6</v>
      </c>
      <c r="Z12" s="256" t="s">
        <v>385</v>
      </c>
      <c r="AA12" s="321">
        <v>125.2</v>
      </c>
      <c r="AC12" s="319">
        <v>25</v>
      </c>
      <c r="AE12" s="319">
        <v>380</v>
      </c>
      <c r="AF12" s="404"/>
      <c r="AG12" s="312"/>
    </row>
    <row r="13" spans="2:33" ht="14.25" customHeight="1">
      <c r="B13" s="428">
        <v>3</v>
      </c>
      <c r="C13" s="635"/>
      <c r="D13" s="636"/>
      <c r="E13" s="637"/>
      <c r="F13" s="638"/>
      <c r="G13" s="289" t="str">
        <f t="shared" si="0"/>
        <v/>
      </c>
      <c r="H13" s="403" t="str">
        <f t="shared" si="1"/>
        <v/>
      </c>
      <c r="I13" s="256">
        <f t="shared" si="2"/>
        <v>0</v>
      </c>
      <c r="J13" s="256">
        <f t="shared" si="3"/>
        <v>0</v>
      </c>
      <c r="K13" s="367">
        <f t="shared" si="4"/>
        <v>0</v>
      </c>
      <c r="L13" s="280" t="str">
        <f t="shared" si="5"/>
        <v/>
      </c>
      <c r="N13" s="419"/>
      <c r="O13" s="419"/>
      <c r="P13" s="419"/>
      <c r="Q13" s="419"/>
      <c r="T13" s="256" t="s">
        <v>386</v>
      </c>
      <c r="U13" s="318">
        <v>65.400000000000006</v>
      </c>
      <c r="V13" s="365" t="s">
        <v>494</v>
      </c>
      <c r="W13" s="319">
        <v>295.39999999999998</v>
      </c>
      <c r="X13" s="365" t="s">
        <v>387</v>
      </c>
      <c r="Y13" s="320">
        <v>365.1</v>
      </c>
      <c r="Z13" s="256" t="s">
        <v>388</v>
      </c>
      <c r="AA13" s="321">
        <v>23.4</v>
      </c>
      <c r="AF13" s="404"/>
      <c r="AG13" s="312"/>
    </row>
    <row r="14" spans="2:33" ht="14.25" customHeight="1">
      <c r="B14" s="428">
        <v>4</v>
      </c>
      <c r="C14" s="635"/>
      <c r="D14" s="636"/>
      <c r="E14" s="637"/>
      <c r="F14" s="638"/>
      <c r="G14" s="289" t="str">
        <f t="shared" si="0"/>
        <v/>
      </c>
      <c r="H14" s="403" t="str">
        <f t="shared" si="1"/>
        <v/>
      </c>
      <c r="I14" s="256">
        <f t="shared" si="2"/>
        <v>0</v>
      </c>
      <c r="J14" s="256">
        <f t="shared" si="3"/>
        <v>0</v>
      </c>
      <c r="K14" s="367">
        <f t="shared" si="4"/>
        <v>0</v>
      </c>
      <c r="L14" s="280" t="str">
        <f t="shared" si="5"/>
        <v/>
      </c>
      <c r="N14" s="419"/>
      <c r="O14" s="419"/>
      <c r="P14" s="419"/>
      <c r="Q14" s="419"/>
      <c r="V14" s="365" t="s">
        <v>389</v>
      </c>
      <c r="W14" s="319">
        <v>259.7</v>
      </c>
      <c r="X14" s="365" t="s">
        <v>503</v>
      </c>
      <c r="Y14" s="320">
        <v>733.4</v>
      </c>
      <c r="Z14" s="256" t="s">
        <v>390</v>
      </c>
      <c r="AA14" s="321">
        <v>106</v>
      </c>
      <c r="AF14" s="404"/>
      <c r="AG14" s="312"/>
    </row>
    <row r="15" spans="2:33" ht="14.25" customHeight="1">
      <c r="B15" s="428">
        <v>5</v>
      </c>
      <c r="C15" s="635"/>
      <c r="D15" s="636"/>
      <c r="E15" s="637"/>
      <c r="F15" s="638"/>
      <c r="G15" s="289" t="str">
        <f t="shared" si="0"/>
        <v/>
      </c>
      <c r="H15" s="403" t="str">
        <f t="shared" si="1"/>
        <v/>
      </c>
      <c r="I15" s="256">
        <f t="shared" si="2"/>
        <v>0</v>
      </c>
      <c r="J15" s="256">
        <f t="shared" si="3"/>
        <v>0</v>
      </c>
      <c r="K15" s="367">
        <f t="shared" si="4"/>
        <v>0</v>
      </c>
      <c r="L15" s="280" t="str">
        <f t="shared" si="5"/>
        <v/>
      </c>
      <c r="N15" s="419"/>
      <c r="O15" s="419"/>
      <c r="P15" s="419"/>
      <c r="Q15" s="419"/>
      <c r="V15" s="365" t="s">
        <v>391</v>
      </c>
      <c r="W15" s="319">
        <v>387</v>
      </c>
      <c r="X15" s="365" t="s">
        <v>392</v>
      </c>
      <c r="Y15" s="320">
        <v>414.1</v>
      </c>
      <c r="Z15" s="286" t="s">
        <v>393</v>
      </c>
      <c r="AA15" s="321">
        <v>57.1</v>
      </c>
      <c r="AF15" s="404"/>
      <c r="AG15" s="312"/>
    </row>
    <row r="16" spans="2:33" ht="14.25" customHeight="1">
      <c r="B16" s="428">
        <v>6</v>
      </c>
      <c r="C16" s="635"/>
      <c r="D16" s="636"/>
      <c r="E16" s="637"/>
      <c r="F16" s="638"/>
      <c r="G16" s="289" t="str">
        <f t="shared" si="0"/>
        <v/>
      </c>
      <c r="H16" s="403" t="str">
        <f t="shared" si="1"/>
        <v/>
      </c>
      <c r="I16" s="256">
        <f t="shared" si="2"/>
        <v>0</v>
      </c>
      <c r="J16" s="256">
        <f t="shared" si="3"/>
        <v>0</v>
      </c>
      <c r="K16" s="367">
        <f t="shared" si="4"/>
        <v>0</v>
      </c>
      <c r="L16" s="280" t="str">
        <f t="shared" si="5"/>
        <v/>
      </c>
      <c r="N16" s="419"/>
      <c r="O16" s="419"/>
      <c r="P16" s="419"/>
      <c r="Q16" s="419"/>
      <c r="V16" s="365" t="s">
        <v>394</v>
      </c>
      <c r="W16" s="319">
        <v>765.3</v>
      </c>
      <c r="X16" s="365" t="s">
        <v>395</v>
      </c>
      <c r="Y16" s="320">
        <v>561.9</v>
      </c>
      <c r="Z16" s="369" t="s">
        <v>396</v>
      </c>
      <c r="AA16" s="321">
        <v>72.599999999999994</v>
      </c>
      <c r="AF16" s="404"/>
      <c r="AG16" s="312"/>
    </row>
    <row r="17" spans="2:34" ht="14.25" customHeight="1">
      <c r="B17" s="428">
        <v>7</v>
      </c>
      <c r="C17" s="635"/>
      <c r="D17" s="636"/>
      <c r="E17" s="637"/>
      <c r="F17" s="638"/>
      <c r="G17" s="289" t="str">
        <f t="shared" si="0"/>
        <v/>
      </c>
      <c r="H17" s="403" t="str">
        <f t="shared" si="1"/>
        <v/>
      </c>
      <c r="I17" s="256">
        <f t="shared" si="2"/>
        <v>0</v>
      </c>
      <c r="J17" s="256">
        <f t="shared" si="3"/>
        <v>0</v>
      </c>
      <c r="K17" s="367">
        <f t="shared" si="4"/>
        <v>0</v>
      </c>
      <c r="L17" s="280" t="str">
        <f t="shared" si="5"/>
        <v/>
      </c>
      <c r="N17" s="782"/>
      <c r="V17" s="365" t="s">
        <v>397</v>
      </c>
      <c r="W17" s="319">
        <v>124.8</v>
      </c>
      <c r="X17" s="365" t="s">
        <v>398</v>
      </c>
      <c r="Y17" s="320">
        <v>985.1</v>
      </c>
      <c r="Z17" s="365" t="s">
        <v>399</v>
      </c>
      <c r="AA17" s="321">
        <v>203.5</v>
      </c>
      <c r="AF17" s="404"/>
    </row>
    <row r="18" spans="2:34" ht="14.25" customHeight="1">
      <c r="B18" s="428">
        <v>8</v>
      </c>
      <c r="C18" s="635"/>
      <c r="D18" s="636"/>
      <c r="E18" s="637"/>
      <c r="F18" s="638"/>
      <c r="G18" s="289" t="str">
        <f t="shared" si="0"/>
        <v/>
      </c>
      <c r="H18" s="403" t="str">
        <f t="shared" si="1"/>
        <v/>
      </c>
      <c r="I18" s="256">
        <f t="shared" si="2"/>
        <v>0</v>
      </c>
      <c r="J18" s="256">
        <f t="shared" si="3"/>
        <v>0</v>
      </c>
      <c r="K18" s="367">
        <f t="shared" si="4"/>
        <v>0</v>
      </c>
      <c r="L18" s="280" t="str">
        <f t="shared" si="5"/>
        <v/>
      </c>
      <c r="N18" s="782"/>
      <c r="V18" s="365" t="s">
        <v>400</v>
      </c>
      <c r="W18" s="319">
        <v>63.4</v>
      </c>
      <c r="X18" s="365" t="s">
        <v>401</v>
      </c>
      <c r="Y18" s="320">
        <v>718.7</v>
      </c>
      <c r="Z18" s="365" t="s">
        <v>402</v>
      </c>
      <c r="AA18" s="321">
        <v>287.10000000000002</v>
      </c>
      <c r="AF18" s="404"/>
    </row>
    <row r="19" spans="2:34" ht="14.25" customHeight="1">
      <c r="B19" s="428">
        <v>9</v>
      </c>
      <c r="C19" s="635"/>
      <c r="D19" s="636"/>
      <c r="E19" s="637"/>
      <c r="F19" s="638"/>
      <c r="G19" s="289" t="str">
        <f t="shared" si="0"/>
        <v/>
      </c>
      <c r="H19" s="403" t="str">
        <f t="shared" si="1"/>
        <v/>
      </c>
      <c r="I19" s="256">
        <f t="shared" si="2"/>
        <v>0</v>
      </c>
      <c r="J19" s="256">
        <f t="shared" si="3"/>
        <v>0</v>
      </c>
      <c r="K19" s="367">
        <f t="shared" si="4"/>
        <v>0</v>
      </c>
      <c r="L19" s="280" t="str">
        <f t="shared" si="5"/>
        <v/>
      </c>
      <c r="N19" s="412"/>
      <c r="R19" s="266"/>
      <c r="S19" s="266"/>
      <c r="T19" s="266"/>
      <c r="U19" s="266"/>
      <c r="Z19" s="365" t="s">
        <v>403</v>
      </c>
      <c r="AA19" s="321">
        <v>252.1</v>
      </c>
    </row>
    <row r="20" spans="2:34" ht="14.25" customHeight="1">
      <c r="B20" s="428">
        <v>10</v>
      </c>
      <c r="C20" s="635"/>
      <c r="D20" s="636"/>
      <c r="E20" s="637"/>
      <c r="F20" s="638"/>
      <c r="G20" s="289" t="str">
        <f t="shared" si="0"/>
        <v/>
      </c>
      <c r="H20" s="403" t="str">
        <f t="shared" si="1"/>
        <v/>
      </c>
      <c r="I20" s="256">
        <f t="shared" si="2"/>
        <v>0</v>
      </c>
      <c r="J20" s="256">
        <f t="shared" si="3"/>
        <v>0</v>
      </c>
      <c r="K20" s="367">
        <f t="shared" si="4"/>
        <v>0</v>
      </c>
      <c r="L20" s="280" t="str">
        <f t="shared" si="5"/>
        <v/>
      </c>
      <c r="N20" s="412"/>
      <c r="R20" s="266"/>
      <c r="S20" s="266"/>
      <c r="T20" s="266"/>
      <c r="U20" s="266"/>
      <c r="Z20" s="365" t="s">
        <v>517</v>
      </c>
      <c r="AA20" s="321">
        <v>333.9</v>
      </c>
    </row>
    <row r="21" spans="2:34" ht="14.25" customHeight="1">
      <c r="B21" s="428">
        <v>11</v>
      </c>
      <c r="C21" s="639"/>
      <c r="D21" s="640"/>
      <c r="E21" s="637"/>
      <c r="F21" s="638"/>
      <c r="G21" s="289" t="str">
        <f t="shared" ref="G21:G40" si="6">IF(OR(F21="",F21=""),"",F21+J21)</f>
        <v/>
      </c>
      <c r="H21" s="403" t="str">
        <f t="shared" si="1"/>
        <v/>
      </c>
      <c r="I21" s="256">
        <f t="shared" si="2"/>
        <v>0</v>
      </c>
      <c r="J21" s="256">
        <f t="shared" si="3"/>
        <v>0</v>
      </c>
      <c r="K21" s="367">
        <f t="shared" si="4"/>
        <v>0</v>
      </c>
      <c r="L21" s="280" t="str">
        <f t="shared" si="5"/>
        <v/>
      </c>
      <c r="N21" s="412"/>
      <c r="R21" s="266"/>
      <c r="S21" s="266"/>
      <c r="T21" s="266"/>
      <c r="U21" s="266"/>
      <c r="Z21" s="365" t="s">
        <v>404</v>
      </c>
      <c r="AA21" s="321">
        <v>64.3</v>
      </c>
    </row>
    <row r="22" spans="2:34" ht="14.25" customHeight="1">
      <c r="B22" s="428">
        <v>12</v>
      </c>
      <c r="C22" s="639"/>
      <c r="D22" s="640"/>
      <c r="E22" s="637"/>
      <c r="F22" s="641"/>
      <c r="G22" s="289" t="str">
        <f t="shared" si="6"/>
        <v/>
      </c>
      <c r="H22" s="403" t="str">
        <f t="shared" si="1"/>
        <v/>
      </c>
      <c r="I22" s="256">
        <f t="shared" si="2"/>
        <v>0</v>
      </c>
      <c r="J22" s="256">
        <f t="shared" si="3"/>
        <v>0</v>
      </c>
      <c r="K22" s="367">
        <f t="shared" si="4"/>
        <v>0</v>
      </c>
      <c r="L22" s="280" t="str">
        <f t="shared" si="5"/>
        <v/>
      </c>
      <c r="N22" s="412"/>
      <c r="R22" s="266"/>
      <c r="S22" s="266"/>
      <c r="T22" s="266"/>
      <c r="U22" s="266"/>
      <c r="Z22" s="365" t="s">
        <v>405</v>
      </c>
      <c r="AA22" s="321">
        <v>69.3</v>
      </c>
    </row>
    <row r="23" spans="2:34" ht="14.25" customHeight="1">
      <c r="B23" s="428">
        <v>13</v>
      </c>
      <c r="C23" s="639"/>
      <c r="D23" s="640"/>
      <c r="E23" s="637"/>
      <c r="F23" s="641"/>
      <c r="G23" s="289" t="str">
        <f t="shared" si="6"/>
        <v/>
      </c>
      <c r="H23" s="403" t="str">
        <f t="shared" si="1"/>
        <v/>
      </c>
      <c r="I23" s="256">
        <f t="shared" si="2"/>
        <v>0</v>
      </c>
      <c r="J23" s="256">
        <f t="shared" si="3"/>
        <v>0</v>
      </c>
      <c r="K23" s="367">
        <f t="shared" si="4"/>
        <v>0</v>
      </c>
      <c r="L23" s="280" t="str">
        <f t="shared" si="5"/>
        <v/>
      </c>
      <c r="N23" s="412"/>
      <c r="R23" s="266"/>
      <c r="S23" s="266"/>
      <c r="T23" s="266"/>
      <c r="U23" s="266"/>
      <c r="Z23" s="256" t="s">
        <v>406</v>
      </c>
      <c r="AA23" s="321">
        <v>54.6</v>
      </c>
    </row>
    <row r="24" spans="2:34" ht="14.25" customHeight="1">
      <c r="B24" s="428">
        <v>14</v>
      </c>
      <c r="C24" s="639"/>
      <c r="D24" s="640"/>
      <c r="E24" s="637"/>
      <c r="F24" s="641"/>
      <c r="G24" s="289" t="str">
        <f t="shared" si="6"/>
        <v/>
      </c>
      <c r="H24" s="403" t="str">
        <f t="shared" si="1"/>
        <v/>
      </c>
      <c r="I24" s="256">
        <f t="shared" si="2"/>
        <v>0</v>
      </c>
      <c r="J24" s="256">
        <f t="shared" si="3"/>
        <v>0</v>
      </c>
      <c r="K24" s="367">
        <f t="shared" si="4"/>
        <v>0</v>
      </c>
      <c r="L24" s="280" t="str">
        <f t="shared" si="5"/>
        <v/>
      </c>
      <c r="N24" s="412"/>
      <c r="R24" s="266"/>
      <c r="S24" s="266"/>
      <c r="T24" s="33"/>
      <c r="U24" s="266"/>
    </row>
    <row r="25" spans="2:34" ht="14.25" customHeight="1">
      <c r="B25" s="428">
        <v>15</v>
      </c>
      <c r="C25" s="639"/>
      <c r="D25" s="640"/>
      <c r="E25" s="637"/>
      <c r="F25" s="641"/>
      <c r="G25" s="289" t="str">
        <f t="shared" si="6"/>
        <v/>
      </c>
      <c r="H25" s="403" t="str">
        <f t="shared" si="1"/>
        <v/>
      </c>
      <c r="I25" s="256">
        <f t="shared" si="2"/>
        <v>0</v>
      </c>
      <c r="J25" s="256">
        <f t="shared" si="3"/>
        <v>0</v>
      </c>
      <c r="K25" s="367">
        <f t="shared" si="4"/>
        <v>0</v>
      </c>
      <c r="L25" s="280" t="str">
        <f t="shared" si="5"/>
        <v/>
      </c>
      <c r="N25" s="412"/>
      <c r="R25" s="266"/>
      <c r="S25" s="266"/>
      <c r="T25" s="33"/>
      <c r="U25" s="266"/>
    </row>
    <row r="26" spans="2:34" ht="14.25" customHeight="1">
      <c r="B26" s="428">
        <v>16</v>
      </c>
      <c r="C26" s="639"/>
      <c r="D26" s="640"/>
      <c r="E26" s="637"/>
      <c r="F26" s="641"/>
      <c r="G26" s="289" t="str">
        <f t="shared" si="6"/>
        <v/>
      </c>
      <c r="H26" s="403" t="str">
        <f t="shared" si="1"/>
        <v/>
      </c>
      <c r="I26" s="256">
        <f t="shared" si="2"/>
        <v>0</v>
      </c>
      <c r="J26" s="256">
        <f t="shared" si="3"/>
        <v>0</v>
      </c>
      <c r="K26" s="367">
        <f t="shared" si="4"/>
        <v>0</v>
      </c>
      <c r="L26" s="280" t="str">
        <f t="shared" si="5"/>
        <v/>
      </c>
      <c r="N26" s="412"/>
      <c r="R26" s="266"/>
      <c r="S26" s="266"/>
      <c r="T26" s="35"/>
      <c r="U26" s="325" t="s">
        <v>424</v>
      </c>
      <c r="V26" s="325" t="s">
        <v>58</v>
      </c>
      <c r="W26" s="325" t="s">
        <v>59</v>
      </c>
      <c r="X26" s="325" t="s">
        <v>60</v>
      </c>
      <c r="Y26" s="325" t="s">
        <v>61</v>
      </c>
      <c r="Z26" s="326" t="s">
        <v>62</v>
      </c>
      <c r="AA26" s="247" t="s">
        <v>63</v>
      </c>
      <c r="AB26" s="247" t="s">
        <v>64</v>
      </c>
      <c r="AD26" s="475" t="s">
        <v>646</v>
      </c>
    </row>
    <row r="27" spans="2:34" ht="14.25" customHeight="1">
      <c r="B27" s="428">
        <v>17</v>
      </c>
      <c r="C27" s="639"/>
      <c r="D27" s="640"/>
      <c r="E27" s="637"/>
      <c r="F27" s="641"/>
      <c r="G27" s="289" t="str">
        <f t="shared" si="6"/>
        <v/>
      </c>
      <c r="H27" s="403" t="str">
        <f t="shared" si="1"/>
        <v/>
      </c>
      <c r="I27" s="256">
        <f t="shared" si="2"/>
        <v>0</v>
      </c>
      <c r="J27" s="256">
        <f t="shared" si="3"/>
        <v>0</v>
      </c>
      <c r="K27" s="367">
        <f t="shared" si="4"/>
        <v>0</v>
      </c>
      <c r="L27" s="280" t="str">
        <f t="shared" si="5"/>
        <v/>
      </c>
      <c r="N27" s="412"/>
      <c r="R27" s="266"/>
      <c r="S27" s="266"/>
      <c r="T27" s="322" t="s">
        <v>57</v>
      </c>
      <c r="U27" s="367">
        <f>SUMIF(D11:D40,$T$9,G11:G40)+SUMIF(E11:E40,$Z$23,G11:G40)</f>
        <v>0</v>
      </c>
      <c r="V27" s="38">
        <v>800</v>
      </c>
      <c r="W27" s="38">
        <v>400</v>
      </c>
      <c r="X27" s="38">
        <v>2100</v>
      </c>
      <c r="Y27" s="38">
        <v>450</v>
      </c>
      <c r="Z27" s="323">
        <v>2850</v>
      </c>
      <c r="AA27" s="38">
        <v>3300</v>
      </c>
      <c r="AB27" s="38">
        <v>1200</v>
      </c>
      <c r="AC27" s="256" t="str">
        <f t="shared" ref="AC27:AC34" si="7">IF(U27=0,"",RANK(U27,$U$27:$U$34))</f>
        <v/>
      </c>
      <c r="AD27" s="322" t="s">
        <v>57</v>
      </c>
      <c r="AG27" s="256">
        <v>1</v>
      </c>
      <c r="AH27" s="256" t="str">
        <f>IFERROR(VLOOKUP(1,AC27:AD34,2,FALSE),"")</f>
        <v/>
      </c>
    </row>
    <row r="28" spans="2:34" ht="14.25" customHeight="1">
      <c r="B28" s="428">
        <v>18</v>
      </c>
      <c r="C28" s="639"/>
      <c r="D28" s="640"/>
      <c r="E28" s="637"/>
      <c r="F28" s="641"/>
      <c r="G28" s="289" t="str">
        <f t="shared" si="6"/>
        <v/>
      </c>
      <c r="H28" s="403" t="str">
        <f t="shared" si="1"/>
        <v/>
      </c>
      <c r="I28" s="256">
        <f t="shared" si="2"/>
        <v>0</v>
      </c>
      <c r="J28" s="256">
        <f t="shared" si="3"/>
        <v>0</v>
      </c>
      <c r="K28" s="367">
        <f t="shared" si="4"/>
        <v>0</v>
      </c>
      <c r="L28" s="280" t="str">
        <f t="shared" si="5"/>
        <v/>
      </c>
      <c r="N28" s="412"/>
      <c r="R28" s="266"/>
      <c r="S28" s="266"/>
      <c r="T28" s="322" t="s">
        <v>161</v>
      </c>
      <c r="U28" s="367">
        <f>SUMIF(D11:D40,$U$9,G11:G40)</f>
        <v>0</v>
      </c>
      <c r="V28" s="38">
        <v>900</v>
      </c>
      <c r="W28" s="38">
        <v>400</v>
      </c>
      <c r="X28" s="38">
        <v>2200</v>
      </c>
      <c r="Y28" s="38">
        <v>550</v>
      </c>
      <c r="Z28" s="323">
        <v>2844</v>
      </c>
      <c r="AA28" s="38">
        <v>2800</v>
      </c>
      <c r="AB28" s="38">
        <v>1200</v>
      </c>
      <c r="AC28" s="256" t="str">
        <f t="shared" si="7"/>
        <v/>
      </c>
      <c r="AD28" s="322" t="s">
        <v>161</v>
      </c>
      <c r="AG28" s="256">
        <v>2</v>
      </c>
      <c r="AH28" s="256" t="str">
        <f>IFERROR(VLOOKUP(2,AC27:AD34,2,FALSE),"")</f>
        <v/>
      </c>
    </row>
    <row r="29" spans="2:34" ht="14.25" customHeight="1">
      <c r="B29" s="428">
        <v>19</v>
      </c>
      <c r="C29" s="639"/>
      <c r="D29" s="640"/>
      <c r="E29" s="637"/>
      <c r="F29" s="641"/>
      <c r="G29" s="289" t="str">
        <f t="shared" si="6"/>
        <v/>
      </c>
      <c r="H29" s="403" t="str">
        <f t="shared" si="1"/>
        <v/>
      </c>
      <c r="I29" s="256">
        <f t="shared" si="2"/>
        <v>0</v>
      </c>
      <c r="J29" s="256">
        <f t="shared" si="3"/>
        <v>0</v>
      </c>
      <c r="K29" s="367">
        <f t="shared" si="4"/>
        <v>0</v>
      </c>
      <c r="L29" s="280" t="str">
        <f t="shared" si="5"/>
        <v/>
      </c>
      <c r="N29" s="412"/>
      <c r="R29" s="266"/>
      <c r="S29" s="266"/>
      <c r="T29" s="322" t="s">
        <v>283</v>
      </c>
      <c r="U29" s="256">
        <f>SUMIF(D11:D40,$V$9,G11:G40)</f>
        <v>0</v>
      </c>
      <c r="V29" s="38">
        <v>1000</v>
      </c>
      <c r="W29" s="38">
        <v>500</v>
      </c>
      <c r="X29" s="38">
        <v>2300</v>
      </c>
      <c r="Y29" s="38">
        <v>750</v>
      </c>
      <c r="Z29" s="323">
        <v>3861</v>
      </c>
      <c r="AA29" s="38">
        <v>3800</v>
      </c>
      <c r="AB29" s="38">
        <v>1200</v>
      </c>
      <c r="AC29" s="256" t="str">
        <f t="shared" si="7"/>
        <v/>
      </c>
      <c r="AD29" s="322" t="s">
        <v>283</v>
      </c>
    </row>
    <row r="30" spans="2:34" ht="14.25" customHeight="1">
      <c r="B30" s="428">
        <v>20</v>
      </c>
      <c r="C30" s="639"/>
      <c r="D30" s="640"/>
      <c r="E30" s="637"/>
      <c r="F30" s="641"/>
      <c r="G30" s="289" t="str">
        <f t="shared" si="6"/>
        <v/>
      </c>
      <c r="H30" s="403" t="str">
        <f t="shared" si="1"/>
        <v/>
      </c>
      <c r="I30" s="256">
        <f t="shared" si="2"/>
        <v>0</v>
      </c>
      <c r="J30" s="256">
        <f t="shared" si="3"/>
        <v>0</v>
      </c>
      <c r="K30" s="367">
        <f t="shared" si="4"/>
        <v>0</v>
      </c>
      <c r="L30" s="280" t="str">
        <f t="shared" si="5"/>
        <v/>
      </c>
      <c r="N30" s="412"/>
      <c r="R30" s="266"/>
      <c r="S30" s="266"/>
      <c r="T30" s="322" t="s">
        <v>285</v>
      </c>
      <c r="U30" s="256">
        <f>SUMIF(E11:E40,$Z$12,G11:G40)</f>
        <v>0</v>
      </c>
      <c r="V30" s="38">
        <v>1000</v>
      </c>
      <c r="W30" s="38">
        <v>1200</v>
      </c>
      <c r="X30" s="38">
        <v>3000</v>
      </c>
      <c r="Y30" s="38">
        <v>5000</v>
      </c>
      <c r="Z30" s="323">
        <v>5110</v>
      </c>
      <c r="AA30" s="38">
        <v>5500</v>
      </c>
      <c r="AB30" s="38">
        <v>2750</v>
      </c>
      <c r="AC30" s="256" t="str">
        <f t="shared" si="7"/>
        <v/>
      </c>
      <c r="AD30" s="322" t="s">
        <v>285</v>
      </c>
      <c r="AG30" s="477" t="s">
        <v>647</v>
      </c>
      <c r="AH30" s="256" t="str">
        <f>AH27&amp;"    "&amp;AH28</f>
        <v xml:space="preserve">    </v>
      </c>
    </row>
    <row r="31" spans="2:34" ht="14.25" customHeight="1">
      <c r="B31" s="428">
        <v>21</v>
      </c>
      <c r="C31" s="639"/>
      <c r="D31" s="640"/>
      <c r="E31" s="637"/>
      <c r="F31" s="641"/>
      <c r="G31" s="289" t="str">
        <f t="shared" si="6"/>
        <v/>
      </c>
      <c r="H31" s="403" t="str">
        <f t="shared" si="1"/>
        <v/>
      </c>
      <c r="I31" s="256">
        <f t="shared" si="2"/>
        <v>0</v>
      </c>
      <c r="J31" s="256">
        <f t="shared" si="3"/>
        <v>0</v>
      </c>
      <c r="K31" s="367">
        <f t="shared" si="4"/>
        <v>0</v>
      </c>
      <c r="L31" s="280" t="str">
        <f t="shared" si="5"/>
        <v/>
      </c>
      <c r="N31" s="412"/>
      <c r="R31" s="266"/>
      <c r="S31" s="266"/>
      <c r="T31" s="322" t="s">
        <v>287</v>
      </c>
      <c r="U31" s="256">
        <f>SUMIF(E11:E40,$Z$13,G11:G40)+SUMIF(E11:E40,$Z$15,G11:G40)</f>
        <v>0</v>
      </c>
      <c r="V31" s="38">
        <v>400</v>
      </c>
      <c r="W31" s="38">
        <v>500</v>
      </c>
      <c r="X31" s="38">
        <v>1350</v>
      </c>
      <c r="Y31" s="38">
        <v>550</v>
      </c>
      <c r="Z31" s="323">
        <v>2000</v>
      </c>
      <c r="AA31" s="38">
        <v>2300</v>
      </c>
      <c r="AB31" s="38">
        <v>1200</v>
      </c>
      <c r="AC31" s="256" t="str">
        <f t="shared" si="7"/>
        <v/>
      </c>
      <c r="AD31" s="322" t="s">
        <v>287</v>
      </c>
    </row>
    <row r="32" spans="2:34" ht="14.25" customHeight="1">
      <c r="B32" s="428">
        <v>22</v>
      </c>
      <c r="C32" s="639"/>
      <c r="D32" s="640"/>
      <c r="E32" s="637"/>
      <c r="F32" s="641"/>
      <c r="G32" s="289" t="str">
        <f t="shared" si="6"/>
        <v/>
      </c>
      <c r="H32" s="403" t="str">
        <f t="shared" si="1"/>
        <v/>
      </c>
      <c r="I32" s="256">
        <f t="shared" si="2"/>
        <v>0</v>
      </c>
      <c r="J32" s="256">
        <f t="shared" si="3"/>
        <v>0</v>
      </c>
      <c r="K32" s="367">
        <f t="shared" si="4"/>
        <v>0</v>
      </c>
      <c r="L32" s="280" t="str">
        <f t="shared" si="5"/>
        <v/>
      </c>
      <c r="N32" s="412"/>
      <c r="R32" s="266"/>
      <c r="S32" s="266"/>
      <c r="T32" s="322" t="s">
        <v>289</v>
      </c>
      <c r="U32" s="256">
        <f>SUMIF(E11:E40,$Z$14,G11:G40)+SUMIF(E11:E40,$Z$16,G11:G40)</f>
        <v>0</v>
      </c>
      <c r="V32" s="38">
        <v>1000</v>
      </c>
      <c r="W32" s="38">
        <v>900</v>
      </c>
      <c r="X32" s="38">
        <v>3400</v>
      </c>
      <c r="Y32" s="38">
        <v>1600</v>
      </c>
      <c r="Z32" s="323">
        <v>5110</v>
      </c>
      <c r="AA32" s="38">
        <v>5100</v>
      </c>
      <c r="AB32" s="38">
        <v>1800</v>
      </c>
      <c r="AC32" s="256" t="str">
        <f t="shared" si="7"/>
        <v/>
      </c>
      <c r="AD32" s="322" t="s">
        <v>289</v>
      </c>
    </row>
    <row r="33" spans="2:31" ht="14.25" customHeight="1">
      <c r="B33" s="428">
        <v>23</v>
      </c>
      <c r="C33" s="639"/>
      <c r="D33" s="640"/>
      <c r="E33" s="637"/>
      <c r="F33" s="641"/>
      <c r="G33" s="289" t="str">
        <f t="shared" si="6"/>
        <v/>
      </c>
      <c r="H33" s="403" t="str">
        <f t="shared" si="1"/>
        <v/>
      </c>
      <c r="I33" s="256">
        <f t="shared" si="2"/>
        <v>0</v>
      </c>
      <c r="J33" s="256">
        <f t="shared" si="3"/>
        <v>0</v>
      </c>
      <c r="K33" s="367">
        <f t="shared" si="4"/>
        <v>0</v>
      </c>
      <c r="L33" s="280" t="str">
        <f t="shared" si="5"/>
        <v/>
      </c>
      <c r="N33" s="412"/>
      <c r="R33" s="266"/>
      <c r="S33" s="266"/>
      <c r="T33" s="406" t="s">
        <v>290</v>
      </c>
      <c r="U33" s="405">
        <f>SUMIF(E11:E40,$Z$17,G11:G40)+SUMIF(E11:E40,$Z$18,G11:G40)+SUMIF(E11:E40,$Z$19,G11:G40)+SUMIF(E11:E40,$Z$20,G11:G40)+SUMIF(E11:E40,$Z$21,G11:G40)+SUMIF(E11:E40,$Z$22,G11:G40)</f>
        <v>0</v>
      </c>
      <c r="V33" s="37">
        <v>1000</v>
      </c>
      <c r="W33" s="38">
        <v>500</v>
      </c>
      <c r="X33" s="38">
        <v>2300</v>
      </c>
      <c r="Y33" s="38">
        <v>1100</v>
      </c>
      <c r="Z33" s="323">
        <v>3861</v>
      </c>
      <c r="AA33" s="38">
        <v>3800</v>
      </c>
      <c r="AB33" s="38">
        <v>1200</v>
      </c>
      <c r="AC33" s="256" t="str">
        <f t="shared" si="7"/>
        <v/>
      </c>
      <c r="AD33" s="406" t="s">
        <v>290</v>
      </c>
    </row>
    <row r="34" spans="2:31" ht="14.25" customHeight="1">
      <c r="B34" s="428">
        <v>24</v>
      </c>
      <c r="C34" s="639"/>
      <c r="D34" s="640"/>
      <c r="E34" s="637"/>
      <c r="F34" s="641"/>
      <c r="G34" s="289" t="str">
        <f t="shared" si="6"/>
        <v/>
      </c>
      <c r="H34" s="403" t="str">
        <f t="shared" si="1"/>
        <v/>
      </c>
      <c r="I34" s="256">
        <f t="shared" si="2"/>
        <v>0</v>
      </c>
      <c r="J34" s="256">
        <f t="shared" si="3"/>
        <v>0</v>
      </c>
      <c r="K34" s="367">
        <f t="shared" si="4"/>
        <v>0</v>
      </c>
      <c r="L34" s="280" t="str">
        <f t="shared" si="5"/>
        <v/>
      </c>
      <c r="N34" s="412"/>
      <c r="R34" s="266"/>
      <c r="S34" s="266"/>
      <c r="T34" s="322" t="s">
        <v>293</v>
      </c>
      <c r="U34" s="409">
        <f>SUM(G57:G65)</f>
        <v>0</v>
      </c>
      <c r="V34" s="38">
        <f>V27</f>
        <v>800</v>
      </c>
      <c r="W34" s="38">
        <f t="shared" ref="W34:AB34" si="8">W27</f>
        <v>400</v>
      </c>
      <c r="X34" s="38">
        <f t="shared" si="8"/>
        <v>2100</v>
      </c>
      <c r="Y34" s="38">
        <f t="shared" si="8"/>
        <v>450</v>
      </c>
      <c r="Z34" s="323">
        <f t="shared" si="8"/>
        <v>2850</v>
      </c>
      <c r="AA34" s="38">
        <f t="shared" si="8"/>
        <v>3300</v>
      </c>
      <c r="AB34" s="38">
        <f t="shared" si="8"/>
        <v>1200</v>
      </c>
      <c r="AC34" s="256" t="str">
        <f t="shared" si="7"/>
        <v/>
      </c>
      <c r="AD34" s="322" t="s">
        <v>293</v>
      </c>
    </row>
    <row r="35" spans="2:31" ht="14.25" customHeight="1">
      <c r="B35" s="428">
        <v>25</v>
      </c>
      <c r="C35" s="639"/>
      <c r="D35" s="640"/>
      <c r="E35" s="637"/>
      <c r="F35" s="641"/>
      <c r="G35" s="289" t="str">
        <f t="shared" si="6"/>
        <v/>
      </c>
      <c r="H35" s="403" t="str">
        <f t="shared" si="1"/>
        <v/>
      </c>
      <c r="I35" s="256">
        <f t="shared" si="2"/>
        <v>0</v>
      </c>
      <c r="J35" s="256">
        <f t="shared" si="3"/>
        <v>0</v>
      </c>
      <c r="K35" s="367">
        <f t="shared" si="4"/>
        <v>0</v>
      </c>
      <c r="L35" s="280" t="str">
        <f t="shared" si="5"/>
        <v/>
      </c>
      <c r="N35" s="412"/>
      <c r="R35" s="266"/>
      <c r="S35" s="266"/>
      <c r="T35" s="407" t="s">
        <v>86</v>
      </c>
      <c r="U35" s="777"/>
      <c r="V35" s="408" t="str">
        <f>IFERROR(($U$27*V27+$U$28*V28+$U$29*V29+$U$30*V30+$U$31*V31+$U$32*V32+$U$33*V33+$U$34*V34)/SUM($U$27:$U$34),"")</f>
        <v/>
      </c>
      <c r="W35" s="324" t="str">
        <f t="shared" ref="W35:AB35" si="9">IFERROR(($U$27*W27+$U$28*W28+$U$29*W29+$U$30*W30+$U$31*W31+$U$32*W32+$U$33*W33+$U$34*W34)/SUM($U$27:$U$34),"")</f>
        <v/>
      </c>
      <c r="X35" s="324" t="str">
        <f t="shared" si="9"/>
        <v/>
      </c>
      <c r="Y35" s="324" t="str">
        <f t="shared" si="9"/>
        <v/>
      </c>
      <c r="Z35" s="414" t="str">
        <f t="shared" si="9"/>
        <v/>
      </c>
      <c r="AA35" s="256" t="str">
        <f t="shared" si="9"/>
        <v/>
      </c>
      <c r="AB35" s="256" t="str">
        <f t="shared" si="9"/>
        <v/>
      </c>
    </row>
    <row r="36" spans="2:31" ht="14.25" customHeight="1">
      <c r="B36" s="428">
        <v>26</v>
      </c>
      <c r="C36" s="639"/>
      <c r="D36" s="640"/>
      <c r="E36" s="637"/>
      <c r="F36" s="641"/>
      <c r="G36" s="289" t="str">
        <f t="shared" si="6"/>
        <v/>
      </c>
      <c r="H36" s="403" t="str">
        <f t="shared" si="1"/>
        <v/>
      </c>
      <c r="I36" s="256">
        <f t="shared" si="2"/>
        <v>0</v>
      </c>
      <c r="J36" s="256">
        <f t="shared" si="3"/>
        <v>0</v>
      </c>
      <c r="K36" s="367">
        <f t="shared" si="4"/>
        <v>0</v>
      </c>
      <c r="L36" s="280" t="str">
        <f t="shared" si="5"/>
        <v/>
      </c>
      <c r="N36" s="412"/>
      <c r="T36" s="256" t="s">
        <v>425</v>
      </c>
      <c r="U36" s="778"/>
      <c r="V36" s="324" t="str">
        <f>IFERROR(Z35*V35/(V35+W35),"")</f>
        <v/>
      </c>
      <c r="W36" s="324" t="str">
        <f>IFERROR(Z35*W35/(V35+W35),"")</f>
        <v/>
      </c>
      <c r="X36" s="324" t="str">
        <f>IFERROR(Z35*X35/(X35+Y35),"")</f>
        <v/>
      </c>
      <c r="Y36" s="324" t="str">
        <f>IFERROR(Z35*Y35/(X35+Y35),"")</f>
        <v/>
      </c>
      <c r="Z36" s="287" t="str">
        <f>Z35</f>
        <v/>
      </c>
      <c r="AA36" s="256"/>
      <c r="AB36" s="256"/>
    </row>
    <row r="37" spans="2:31" ht="14.25" customHeight="1">
      <c r="B37" s="428">
        <v>27</v>
      </c>
      <c r="C37" s="639"/>
      <c r="D37" s="640"/>
      <c r="E37" s="637"/>
      <c r="F37" s="641"/>
      <c r="G37" s="289" t="str">
        <f t="shared" si="6"/>
        <v/>
      </c>
      <c r="H37" s="403" t="str">
        <f t="shared" si="1"/>
        <v/>
      </c>
      <c r="I37" s="256">
        <f t="shared" si="2"/>
        <v>0</v>
      </c>
      <c r="J37" s="256">
        <f t="shared" si="3"/>
        <v>0</v>
      </c>
      <c r="K37" s="367">
        <f t="shared" si="4"/>
        <v>0</v>
      </c>
      <c r="L37" s="280" t="str">
        <f t="shared" si="5"/>
        <v/>
      </c>
      <c r="N37" s="412"/>
    </row>
    <row r="38" spans="2:31" ht="14.25" customHeight="1" thickBot="1">
      <c r="B38" s="428">
        <v>28</v>
      </c>
      <c r="C38" s="639"/>
      <c r="D38" s="640"/>
      <c r="E38" s="637"/>
      <c r="F38" s="641"/>
      <c r="G38" s="289" t="str">
        <f t="shared" si="6"/>
        <v/>
      </c>
      <c r="H38" s="403" t="str">
        <f t="shared" si="1"/>
        <v/>
      </c>
      <c r="I38" s="256">
        <f t="shared" si="2"/>
        <v>0</v>
      </c>
      <c r="J38" s="256">
        <f t="shared" si="3"/>
        <v>0</v>
      </c>
      <c r="K38" s="367">
        <f t="shared" si="4"/>
        <v>0</v>
      </c>
      <c r="L38" s="280" t="str">
        <f t="shared" si="5"/>
        <v/>
      </c>
      <c r="N38" s="412"/>
      <c r="T38" s="366" t="s">
        <v>521</v>
      </c>
      <c r="U38" s="779" t="s">
        <v>522</v>
      </c>
      <c r="V38" s="780"/>
      <c r="W38" s="780"/>
      <c r="X38" s="780"/>
      <c r="Y38" s="780"/>
      <c r="Z38" s="780"/>
      <c r="AA38" s="780"/>
    </row>
    <row r="39" spans="2:31" ht="14.25" customHeight="1" thickTop="1">
      <c r="B39" s="428">
        <v>29</v>
      </c>
      <c r="C39" s="639"/>
      <c r="D39" s="640"/>
      <c r="E39" s="637"/>
      <c r="F39" s="641"/>
      <c r="G39" s="289" t="str">
        <f t="shared" si="6"/>
        <v/>
      </c>
      <c r="H39" s="403" t="str">
        <f t="shared" si="1"/>
        <v/>
      </c>
      <c r="I39" s="256">
        <f t="shared" si="2"/>
        <v>0</v>
      </c>
      <c r="J39" s="256">
        <f t="shared" si="3"/>
        <v>0</v>
      </c>
      <c r="K39" s="367">
        <f t="shared" si="4"/>
        <v>0</v>
      </c>
      <c r="L39" s="280" t="str">
        <f t="shared" si="5"/>
        <v/>
      </c>
      <c r="N39" s="412"/>
      <c r="T39" s="373" t="s">
        <v>489</v>
      </c>
      <c r="U39" s="371" t="s">
        <v>490</v>
      </c>
      <c r="V39" s="370" t="s">
        <v>491</v>
      </c>
      <c r="W39" s="370" t="s">
        <v>492</v>
      </c>
      <c r="X39" s="301"/>
      <c r="Y39" s="301"/>
      <c r="Z39" s="301"/>
      <c r="AA39" s="301"/>
      <c r="AB39" s="327"/>
      <c r="AC39" s="327"/>
    </row>
    <row r="40" spans="2:31" ht="14.25" customHeight="1">
      <c r="B40" s="428">
        <v>30</v>
      </c>
      <c r="C40" s="639"/>
      <c r="D40" s="640"/>
      <c r="E40" s="637"/>
      <c r="F40" s="641"/>
      <c r="G40" s="289" t="str">
        <f t="shared" si="6"/>
        <v/>
      </c>
      <c r="H40" s="403" t="str">
        <f t="shared" si="1"/>
        <v/>
      </c>
      <c r="I40" s="256">
        <f t="shared" si="2"/>
        <v>0</v>
      </c>
      <c r="J40" s="256">
        <f t="shared" si="3"/>
        <v>0</v>
      </c>
      <c r="K40" s="367">
        <f t="shared" si="4"/>
        <v>0</v>
      </c>
      <c r="L40" s="280" t="str">
        <f t="shared" si="5"/>
        <v/>
      </c>
      <c r="N40" s="412"/>
      <c r="T40" s="374" t="s">
        <v>161</v>
      </c>
      <c r="U40" s="372" t="s">
        <v>493</v>
      </c>
      <c r="V40" s="368" t="s">
        <v>495</v>
      </c>
      <c r="W40" s="368" t="s">
        <v>496</v>
      </c>
      <c r="X40" s="368" t="s">
        <v>497</v>
      </c>
      <c r="Y40" s="368" t="s">
        <v>498</v>
      </c>
      <c r="Z40" s="368" t="s">
        <v>499</v>
      </c>
      <c r="AA40" s="368" t="s">
        <v>500</v>
      </c>
      <c r="AB40" s="327"/>
      <c r="AC40" s="327"/>
    </row>
    <row r="41" spans="2:31" ht="14.25" customHeight="1">
      <c r="B41" s="428">
        <v>31</v>
      </c>
      <c r="C41" s="639"/>
      <c r="D41" s="640"/>
      <c r="E41" s="637"/>
      <c r="F41" s="641"/>
      <c r="G41" s="289" t="str">
        <f t="shared" ref="G41:G48" si="10">IF(OR(F41="",F41=""),"",F41+J41)</f>
        <v/>
      </c>
      <c r="H41" s="403" t="str">
        <f t="shared" si="1"/>
        <v/>
      </c>
      <c r="I41" s="256">
        <f t="shared" si="2"/>
        <v>0</v>
      </c>
      <c r="J41" s="256">
        <f t="shared" si="3"/>
        <v>0</v>
      </c>
      <c r="K41" s="367">
        <f t="shared" ref="K41:K49" si="11">IFERROR(L41*G41,0)</f>
        <v>0</v>
      </c>
      <c r="L41" s="280" t="str">
        <f t="shared" si="5"/>
        <v/>
      </c>
      <c r="N41" s="412"/>
      <c r="T41" s="374" t="s">
        <v>283</v>
      </c>
      <c r="U41" s="372" t="s">
        <v>501</v>
      </c>
      <c r="V41" s="368" t="s">
        <v>502</v>
      </c>
      <c r="W41" s="368" t="s">
        <v>504</v>
      </c>
      <c r="X41" s="368" t="s">
        <v>505</v>
      </c>
      <c r="Y41" s="368" t="s">
        <v>506</v>
      </c>
      <c r="Z41" s="368" t="s">
        <v>507</v>
      </c>
      <c r="AA41" s="368" t="s">
        <v>508</v>
      </c>
    </row>
    <row r="42" spans="2:31" ht="14.25" customHeight="1">
      <c r="B42" s="428">
        <v>32</v>
      </c>
      <c r="C42" s="639"/>
      <c r="D42" s="640"/>
      <c r="E42" s="637"/>
      <c r="F42" s="641"/>
      <c r="G42" s="289" t="str">
        <f t="shared" si="10"/>
        <v/>
      </c>
      <c r="H42" s="403" t="str">
        <f t="shared" si="1"/>
        <v/>
      </c>
      <c r="I42" s="256">
        <f t="shared" si="2"/>
        <v>0</v>
      </c>
      <c r="J42" s="256">
        <f t="shared" si="3"/>
        <v>0</v>
      </c>
      <c r="K42" s="367">
        <f t="shared" si="11"/>
        <v>0</v>
      </c>
      <c r="L42" s="280" t="str">
        <f t="shared" si="5"/>
        <v/>
      </c>
      <c r="N42" s="412"/>
      <c r="T42" s="374" t="s">
        <v>285</v>
      </c>
      <c r="U42" s="372" t="s">
        <v>509</v>
      </c>
      <c r="V42" s="301"/>
      <c r="W42" s="301"/>
      <c r="X42" s="301"/>
      <c r="Y42" s="301"/>
      <c r="Z42" s="301"/>
    </row>
    <row r="43" spans="2:31" ht="14.25" customHeight="1">
      <c r="B43" s="428">
        <v>33</v>
      </c>
      <c r="C43" s="639"/>
      <c r="D43" s="640"/>
      <c r="E43" s="637"/>
      <c r="F43" s="641"/>
      <c r="G43" s="289" t="str">
        <f t="shared" si="10"/>
        <v/>
      </c>
      <c r="H43" s="403" t="str">
        <f t="shared" si="1"/>
        <v/>
      </c>
      <c r="I43" s="256">
        <f t="shared" si="2"/>
        <v>0</v>
      </c>
      <c r="J43" s="256">
        <f t="shared" si="3"/>
        <v>0</v>
      </c>
      <c r="K43" s="367">
        <f t="shared" si="11"/>
        <v>0</v>
      </c>
      <c r="L43" s="280" t="str">
        <f t="shared" si="5"/>
        <v/>
      </c>
      <c r="N43" s="412"/>
      <c r="T43" s="374" t="s">
        <v>287</v>
      </c>
      <c r="U43" s="372" t="s">
        <v>510</v>
      </c>
      <c r="V43" s="368" t="s">
        <v>511</v>
      </c>
      <c r="W43" s="301"/>
      <c r="X43" s="301"/>
      <c r="Y43" s="301"/>
      <c r="Z43" s="301"/>
    </row>
    <row r="44" spans="2:31" ht="14.25" customHeight="1">
      <c r="B44" s="428">
        <v>34</v>
      </c>
      <c r="C44" s="639"/>
      <c r="D44" s="640"/>
      <c r="E44" s="637"/>
      <c r="F44" s="641"/>
      <c r="G44" s="289" t="str">
        <f t="shared" si="10"/>
        <v/>
      </c>
      <c r="H44" s="403" t="str">
        <f t="shared" si="1"/>
        <v/>
      </c>
      <c r="I44" s="256">
        <f t="shared" si="2"/>
        <v>0</v>
      </c>
      <c r="J44" s="256">
        <f t="shared" si="3"/>
        <v>0</v>
      </c>
      <c r="K44" s="367">
        <f t="shared" si="11"/>
        <v>0</v>
      </c>
      <c r="L44" s="280" t="str">
        <f t="shared" si="5"/>
        <v/>
      </c>
      <c r="N44" s="412"/>
      <c r="T44" s="374" t="s">
        <v>289</v>
      </c>
      <c r="U44" s="372" t="s">
        <v>512</v>
      </c>
      <c r="V44" s="368" t="s">
        <v>513</v>
      </c>
      <c r="W44" s="301"/>
      <c r="X44" s="301"/>
      <c r="Y44" s="301"/>
      <c r="Z44" s="301"/>
    </row>
    <row r="45" spans="2:31" ht="14.25" customHeight="1">
      <c r="B45" s="428">
        <v>35</v>
      </c>
      <c r="C45" s="639"/>
      <c r="D45" s="640"/>
      <c r="E45" s="637"/>
      <c r="F45" s="641"/>
      <c r="G45" s="289" t="str">
        <f t="shared" si="10"/>
        <v/>
      </c>
      <c r="H45" s="403" t="str">
        <f t="shared" si="1"/>
        <v/>
      </c>
      <c r="I45" s="256">
        <f t="shared" si="2"/>
        <v>0</v>
      </c>
      <c r="J45" s="256">
        <f t="shared" si="3"/>
        <v>0</v>
      </c>
      <c r="K45" s="367">
        <f t="shared" si="11"/>
        <v>0</v>
      </c>
      <c r="L45" s="280" t="str">
        <f t="shared" si="5"/>
        <v/>
      </c>
      <c r="N45" s="412"/>
      <c r="T45" s="374" t="s">
        <v>290</v>
      </c>
      <c r="U45" s="372" t="s">
        <v>514</v>
      </c>
      <c r="V45" s="368" t="s">
        <v>515</v>
      </c>
      <c r="W45" s="368" t="s">
        <v>516</v>
      </c>
      <c r="X45" s="368" t="s">
        <v>518</v>
      </c>
      <c r="Y45" s="368" t="s">
        <v>519</v>
      </c>
      <c r="Z45" s="368" t="s">
        <v>520</v>
      </c>
    </row>
    <row r="46" spans="2:31" ht="14.25" customHeight="1">
      <c r="B46" s="428">
        <v>36</v>
      </c>
      <c r="C46" s="639"/>
      <c r="D46" s="640"/>
      <c r="E46" s="637"/>
      <c r="F46" s="641"/>
      <c r="G46" s="289" t="str">
        <f t="shared" si="10"/>
        <v/>
      </c>
      <c r="H46" s="403" t="str">
        <f t="shared" si="1"/>
        <v/>
      </c>
      <c r="I46" s="256">
        <f t="shared" si="2"/>
        <v>0</v>
      </c>
      <c r="J46" s="256">
        <f t="shared" si="3"/>
        <v>0</v>
      </c>
      <c r="K46" s="367">
        <f t="shared" si="11"/>
        <v>0</v>
      </c>
      <c r="L46" s="280" t="str">
        <f t="shared" si="5"/>
        <v/>
      </c>
      <c r="N46" s="412"/>
      <c r="T46" s="416" t="s">
        <v>45</v>
      </c>
      <c r="U46" s="423" t="str">
        <f>IF(D56="","",D56)</f>
        <v>駐車場</v>
      </c>
      <c r="V46" s="423" t="str">
        <f>IF(D57="","",D57)</f>
        <v>データセンター</v>
      </c>
      <c r="W46" s="423" t="str">
        <f>IF(D58="","",D58)</f>
        <v/>
      </c>
      <c r="X46" s="423" t="str">
        <f>IF(D59="","",D59)</f>
        <v/>
      </c>
      <c r="Y46" s="423" t="str">
        <f>IF(D60="","",D60)</f>
        <v/>
      </c>
      <c r="Z46" s="423" t="str">
        <f>IF(D61="","",D61)</f>
        <v/>
      </c>
      <c r="AA46" s="423" t="str">
        <f>IF(D62="","",D62)</f>
        <v/>
      </c>
      <c r="AB46" s="423" t="str">
        <f>IF(D63="","",D63)</f>
        <v/>
      </c>
      <c r="AC46" s="423" t="str">
        <f>IF(D64="","",D64)</f>
        <v/>
      </c>
      <c r="AD46" s="415" t="str">
        <f>IF(D65="","",D65)</f>
        <v/>
      </c>
      <c r="AE46" s="421" t="str">
        <f>IF(G63="","",G63)</f>
        <v/>
      </c>
    </row>
    <row r="47" spans="2:31" ht="14.25" customHeight="1">
      <c r="B47" s="438">
        <v>37</v>
      </c>
      <c r="C47" s="642"/>
      <c r="D47" s="643"/>
      <c r="E47" s="644"/>
      <c r="F47" s="645"/>
      <c r="G47" s="342" t="str">
        <f t="shared" si="10"/>
        <v/>
      </c>
      <c r="H47" s="439" t="str">
        <f t="shared" si="1"/>
        <v/>
      </c>
      <c r="I47" s="405">
        <f t="shared" si="2"/>
        <v>0</v>
      </c>
      <c r="J47" s="405">
        <f t="shared" si="3"/>
        <v>0</v>
      </c>
      <c r="K47" s="440">
        <f t="shared" si="11"/>
        <v>0</v>
      </c>
      <c r="L47" s="441" t="str">
        <f t="shared" si="5"/>
        <v/>
      </c>
      <c r="N47" s="412"/>
    </row>
    <row r="48" spans="2:31" ht="14.25" customHeight="1">
      <c r="B48" s="442">
        <v>38</v>
      </c>
      <c r="C48" s="646"/>
      <c r="D48" s="647"/>
      <c r="E48" s="648"/>
      <c r="F48" s="649"/>
      <c r="G48" s="443" t="str">
        <f t="shared" si="10"/>
        <v/>
      </c>
      <c r="H48" s="403" t="str">
        <f t="shared" si="1"/>
        <v/>
      </c>
      <c r="I48" s="407">
        <f t="shared" si="2"/>
        <v>0</v>
      </c>
      <c r="J48" s="407">
        <f t="shared" si="3"/>
        <v>0</v>
      </c>
      <c r="K48" s="444">
        <f t="shared" si="11"/>
        <v>0</v>
      </c>
      <c r="L48" s="403" t="str">
        <f t="shared" si="5"/>
        <v/>
      </c>
      <c r="N48" s="412"/>
    </row>
    <row r="49" spans="2:27" ht="14.25" customHeight="1">
      <c r="B49" s="428">
        <v>39</v>
      </c>
      <c r="C49" s="639"/>
      <c r="D49" s="640"/>
      <c r="E49" s="637"/>
      <c r="F49" s="641"/>
      <c r="G49" s="289" t="str">
        <f>IF(OR(F49="",F49=""),"",F49+J49)</f>
        <v/>
      </c>
      <c r="H49" s="403" t="str">
        <f t="shared" si="1"/>
        <v/>
      </c>
      <c r="I49" s="256">
        <f t="shared" si="2"/>
        <v>0</v>
      </c>
      <c r="J49" s="256">
        <f t="shared" si="3"/>
        <v>0</v>
      </c>
      <c r="K49" s="367">
        <f t="shared" si="11"/>
        <v>0</v>
      </c>
      <c r="L49" s="280" t="str">
        <f t="shared" si="5"/>
        <v/>
      </c>
    </row>
    <row r="50" spans="2:27" ht="14.25" customHeight="1">
      <c r="B50" s="428">
        <v>40</v>
      </c>
      <c r="C50" s="639"/>
      <c r="D50" s="640"/>
      <c r="E50" s="637"/>
      <c r="F50" s="641"/>
      <c r="G50" s="289" t="str">
        <f>IF(OR(F50="",F50=""),"",F50+J50)</f>
        <v/>
      </c>
      <c r="H50" s="403" t="str">
        <f t="shared" si="1"/>
        <v/>
      </c>
      <c r="I50" s="256">
        <f t="shared" si="2"/>
        <v>0</v>
      </c>
      <c r="J50" s="256">
        <f t="shared" si="3"/>
        <v>0</v>
      </c>
      <c r="K50" s="367">
        <f>IFERROR(L50*G50,0)</f>
        <v>0</v>
      </c>
      <c r="L50" s="280" t="str">
        <f t="shared" si="5"/>
        <v/>
      </c>
    </row>
    <row r="51" spans="2:27" ht="14.25" customHeight="1"/>
    <row r="52" spans="2:27" ht="14.25" customHeight="1">
      <c r="B52" s="424" t="s">
        <v>596</v>
      </c>
    </row>
    <row r="53" spans="2:27" ht="5.25" customHeight="1"/>
    <row r="54" spans="2:27" ht="63.95" customHeight="1">
      <c r="B54" s="788" t="s">
        <v>379</v>
      </c>
      <c r="C54" s="788" t="s">
        <v>380</v>
      </c>
      <c r="D54" s="789" t="s">
        <v>604</v>
      </c>
      <c r="E54" s="789"/>
      <c r="F54" s="728" t="s">
        <v>597</v>
      </c>
      <c r="G54" s="728" t="s">
        <v>598</v>
      </c>
      <c r="H54" s="728" t="s">
        <v>649</v>
      </c>
      <c r="I54" s="761" t="s">
        <v>528</v>
      </c>
      <c r="J54" s="761" t="s">
        <v>527</v>
      </c>
      <c r="K54" s="783" t="s">
        <v>599</v>
      </c>
      <c r="L54" s="781" t="s">
        <v>603</v>
      </c>
    </row>
    <row r="55" spans="2:27" ht="14.25" customHeight="1">
      <c r="B55" s="788"/>
      <c r="C55" s="788"/>
      <c r="D55" s="789"/>
      <c r="E55" s="789"/>
      <c r="F55" s="728"/>
      <c r="G55" s="728"/>
      <c r="H55" s="728"/>
      <c r="I55" s="762"/>
      <c r="J55" s="762"/>
      <c r="K55" s="765"/>
      <c r="L55" s="781"/>
      <c r="U55" s="435" t="s">
        <v>613</v>
      </c>
      <c r="V55" s="784" t="s">
        <v>615</v>
      </c>
      <c r="W55" s="786" t="s">
        <v>614</v>
      </c>
      <c r="X55" s="787"/>
      <c r="Y55" s="787"/>
      <c r="Z55" s="787"/>
      <c r="AA55" s="787"/>
    </row>
    <row r="56" spans="2:27" ht="14.25" customHeight="1">
      <c r="B56" s="428">
        <v>1</v>
      </c>
      <c r="C56" s="493"/>
      <c r="D56" s="775" t="s">
        <v>600</v>
      </c>
      <c r="E56" s="776"/>
      <c r="F56" s="650"/>
      <c r="G56" s="289" t="str">
        <f>IF(OR(F56="",F56=""),"",F56+J56)</f>
        <v/>
      </c>
      <c r="H56" s="427" t="str">
        <f>IF(F56="","",AC12)</f>
        <v/>
      </c>
      <c r="I56" s="256">
        <v>0</v>
      </c>
      <c r="J56" s="256">
        <f t="shared" ref="J56:J65" si="12">$K$4*I56</f>
        <v>0</v>
      </c>
      <c r="K56" s="367">
        <f>IFERROR(L56*G56,0)</f>
        <v>0</v>
      </c>
      <c r="L56" s="256" t="str">
        <f>H56</f>
        <v/>
      </c>
      <c r="U56" s="436" t="s">
        <v>376</v>
      </c>
      <c r="V56" s="785"/>
      <c r="W56" s="431" t="s">
        <v>58</v>
      </c>
      <c r="X56" s="431" t="s">
        <v>59</v>
      </c>
      <c r="Y56" s="431" t="s">
        <v>60</v>
      </c>
      <c r="Z56" s="431" t="s">
        <v>61</v>
      </c>
      <c r="AA56" s="432" t="s">
        <v>62</v>
      </c>
    </row>
    <row r="57" spans="2:27" ht="14.25" customHeight="1">
      <c r="B57" s="428">
        <v>2</v>
      </c>
      <c r="C57" s="493"/>
      <c r="D57" s="425" t="s">
        <v>601</v>
      </c>
      <c r="E57" s="426"/>
      <c r="F57" s="650"/>
      <c r="G57" s="289" t="str">
        <f t="shared" ref="G57:G65" si="13">IF(OR(F57="",F57=""),"",F57+J57)</f>
        <v/>
      </c>
      <c r="H57" s="427" t="str">
        <f>IF(F58="","",AE12)</f>
        <v/>
      </c>
      <c r="I57" s="256">
        <f t="shared" ref="I57:I65" si="14">IFERROR(F57/$K$5,0)</f>
        <v>0</v>
      </c>
      <c r="J57" s="256">
        <f t="shared" si="12"/>
        <v>0</v>
      </c>
      <c r="K57" s="367">
        <f t="shared" ref="K57:K65" si="15">IFERROR(L57*G57,0)</f>
        <v>0</v>
      </c>
      <c r="L57" s="256" t="str">
        <f t="shared" ref="L57:L65" si="16">H57</f>
        <v/>
      </c>
      <c r="U57" s="256" t="s">
        <v>381</v>
      </c>
      <c r="V57" s="286">
        <v>81.3</v>
      </c>
      <c r="W57" s="792">
        <v>800</v>
      </c>
      <c r="X57" s="792">
        <v>400</v>
      </c>
      <c r="Y57" s="792">
        <v>2100</v>
      </c>
      <c r="Z57" s="792">
        <v>450</v>
      </c>
      <c r="AA57" s="793">
        <v>2850</v>
      </c>
    </row>
    <row r="58" spans="2:27" ht="14.25" customHeight="1">
      <c r="B58" s="428">
        <v>3</v>
      </c>
      <c r="C58" s="639"/>
      <c r="D58" s="790"/>
      <c r="E58" s="791"/>
      <c r="F58" s="494"/>
      <c r="G58" s="289" t="str">
        <f t="shared" si="13"/>
        <v/>
      </c>
      <c r="H58" s="495"/>
      <c r="I58" s="256">
        <f t="shared" si="14"/>
        <v>0</v>
      </c>
      <c r="J58" s="256">
        <f t="shared" si="12"/>
        <v>0</v>
      </c>
      <c r="K58" s="367">
        <f t="shared" si="15"/>
        <v>0</v>
      </c>
      <c r="L58" s="256">
        <f t="shared" si="16"/>
        <v>0</v>
      </c>
      <c r="U58" s="256" t="s">
        <v>386</v>
      </c>
      <c r="V58" s="286">
        <v>65.400000000000006</v>
      </c>
      <c r="W58" s="792"/>
      <c r="X58" s="792"/>
      <c r="Y58" s="792"/>
      <c r="Z58" s="792"/>
      <c r="AA58" s="793"/>
    </row>
    <row r="59" spans="2:27" ht="14.25" customHeight="1">
      <c r="B59" s="428">
        <v>4</v>
      </c>
      <c r="C59" s="639"/>
      <c r="D59" s="790"/>
      <c r="E59" s="791"/>
      <c r="F59" s="494"/>
      <c r="G59" s="289" t="str">
        <f t="shared" si="13"/>
        <v/>
      </c>
      <c r="H59" s="495"/>
      <c r="I59" s="256">
        <f t="shared" si="14"/>
        <v>0</v>
      </c>
      <c r="J59" s="256">
        <f t="shared" si="12"/>
        <v>0</v>
      </c>
      <c r="K59" s="367">
        <f t="shared" si="15"/>
        <v>0</v>
      </c>
      <c r="L59" s="256">
        <f t="shared" si="16"/>
        <v>0</v>
      </c>
      <c r="U59" s="436" t="s">
        <v>377</v>
      </c>
      <c r="V59" s="794"/>
      <c r="W59" s="795"/>
      <c r="X59" s="795"/>
      <c r="Y59" s="795"/>
      <c r="Z59" s="795"/>
      <c r="AA59" s="796"/>
    </row>
    <row r="60" spans="2:27" ht="14.25" customHeight="1">
      <c r="B60" s="428">
        <v>5</v>
      </c>
      <c r="C60" s="639"/>
      <c r="D60" s="790"/>
      <c r="E60" s="791"/>
      <c r="F60" s="494"/>
      <c r="G60" s="289" t="str">
        <f t="shared" si="13"/>
        <v/>
      </c>
      <c r="H60" s="495"/>
      <c r="I60" s="256">
        <f t="shared" si="14"/>
        <v>0</v>
      </c>
      <c r="J60" s="256">
        <f t="shared" si="12"/>
        <v>0</v>
      </c>
      <c r="K60" s="367">
        <f t="shared" si="15"/>
        <v>0</v>
      </c>
      <c r="L60" s="256">
        <f t="shared" si="16"/>
        <v>0</v>
      </c>
      <c r="U60" s="365" t="s">
        <v>383</v>
      </c>
      <c r="V60" s="427">
        <v>585.4</v>
      </c>
      <c r="W60" s="792">
        <v>900</v>
      </c>
      <c r="X60" s="792">
        <v>400</v>
      </c>
      <c r="Y60" s="792">
        <v>2200</v>
      </c>
      <c r="Z60" s="792">
        <v>550</v>
      </c>
      <c r="AA60" s="793">
        <v>2844</v>
      </c>
    </row>
    <row r="61" spans="2:27" ht="14.25" customHeight="1">
      <c r="B61" s="428">
        <v>6</v>
      </c>
      <c r="C61" s="639"/>
      <c r="D61" s="790"/>
      <c r="E61" s="791"/>
      <c r="F61" s="494"/>
      <c r="G61" s="289" t="str">
        <f t="shared" si="13"/>
        <v/>
      </c>
      <c r="H61" s="495"/>
      <c r="I61" s="256">
        <f t="shared" si="14"/>
        <v>0</v>
      </c>
      <c r="J61" s="256">
        <f t="shared" si="12"/>
        <v>0</v>
      </c>
      <c r="K61" s="367">
        <f t="shared" si="15"/>
        <v>0</v>
      </c>
      <c r="L61" s="256">
        <f t="shared" si="16"/>
        <v>0</v>
      </c>
      <c r="U61" s="365" t="s">
        <v>494</v>
      </c>
      <c r="V61" s="427">
        <v>295.39999999999998</v>
      </c>
      <c r="W61" s="792"/>
      <c r="X61" s="792"/>
      <c r="Y61" s="792"/>
      <c r="Z61" s="792"/>
      <c r="AA61" s="793"/>
    </row>
    <row r="62" spans="2:27" ht="14.25" customHeight="1">
      <c r="B62" s="428">
        <v>7</v>
      </c>
      <c r="C62" s="639"/>
      <c r="D62" s="790"/>
      <c r="E62" s="791"/>
      <c r="F62" s="494"/>
      <c r="G62" s="289" t="str">
        <f t="shared" si="13"/>
        <v/>
      </c>
      <c r="H62" s="495"/>
      <c r="I62" s="256">
        <f t="shared" si="14"/>
        <v>0</v>
      </c>
      <c r="J62" s="256">
        <f t="shared" si="12"/>
        <v>0</v>
      </c>
      <c r="K62" s="367">
        <f t="shared" si="15"/>
        <v>0</v>
      </c>
      <c r="L62" s="256">
        <f t="shared" si="16"/>
        <v>0</v>
      </c>
      <c r="U62" s="365" t="s">
        <v>389</v>
      </c>
      <c r="V62" s="427">
        <v>259.7</v>
      </c>
      <c r="W62" s="792"/>
      <c r="X62" s="792"/>
      <c r="Y62" s="792"/>
      <c r="Z62" s="792"/>
      <c r="AA62" s="793"/>
    </row>
    <row r="63" spans="2:27" ht="14.25" customHeight="1">
      <c r="B63" s="428">
        <v>8</v>
      </c>
      <c r="C63" s="639"/>
      <c r="D63" s="790"/>
      <c r="E63" s="791"/>
      <c r="F63" s="494"/>
      <c r="G63" s="289" t="str">
        <f t="shared" si="13"/>
        <v/>
      </c>
      <c r="H63" s="495"/>
      <c r="I63" s="256">
        <f t="shared" si="14"/>
        <v>0</v>
      </c>
      <c r="J63" s="256">
        <f t="shared" si="12"/>
        <v>0</v>
      </c>
      <c r="K63" s="367">
        <f t="shared" si="15"/>
        <v>0</v>
      </c>
      <c r="L63" s="256">
        <f t="shared" si="16"/>
        <v>0</v>
      </c>
      <c r="U63" s="365" t="s">
        <v>391</v>
      </c>
      <c r="V63" s="427">
        <v>387</v>
      </c>
      <c r="W63" s="792"/>
      <c r="X63" s="792"/>
      <c r="Y63" s="792"/>
      <c r="Z63" s="792"/>
      <c r="AA63" s="793"/>
    </row>
    <row r="64" spans="2:27" ht="14.25" customHeight="1">
      <c r="B64" s="428">
        <v>9</v>
      </c>
      <c r="C64" s="639"/>
      <c r="D64" s="790"/>
      <c r="E64" s="791"/>
      <c r="F64" s="494"/>
      <c r="G64" s="289" t="str">
        <f t="shared" si="13"/>
        <v/>
      </c>
      <c r="H64" s="495"/>
      <c r="I64" s="256">
        <f t="shared" si="14"/>
        <v>0</v>
      </c>
      <c r="J64" s="256">
        <f t="shared" si="12"/>
        <v>0</v>
      </c>
      <c r="K64" s="367">
        <f t="shared" si="15"/>
        <v>0</v>
      </c>
      <c r="L64" s="256">
        <f t="shared" si="16"/>
        <v>0</v>
      </c>
      <c r="U64" s="365" t="s">
        <v>394</v>
      </c>
      <c r="V64" s="427">
        <v>765.3</v>
      </c>
      <c r="W64" s="792"/>
      <c r="X64" s="792"/>
      <c r="Y64" s="792"/>
      <c r="Z64" s="792"/>
      <c r="AA64" s="793"/>
    </row>
    <row r="65" spans="2:27" ht="14.25" customHeight="1">
      <c r="B65" s="428">
        <v>10</v>
      </c>
      <c r="C65" s="639"/>
      <c r="D65" s="790"/>
      <c r="E65" s="791"/>
      <c r="F65" s="494"/>
      <c r="G65" s="289" t="str">
        <f t="shared" si="13"/>
        <v/>
      </c>
      <c r="H65" s="495"/>
      <c r="I65" s="256">
        <f t="shared" si="14"/>
        <v>0</v>
      </c>
      <c r="J65" s="256">
        <f t="shared" si="12"/>
        <v>0</v>
      </c>
      <c r="K65" s="367">
        <f t="shared" si="15"/>
        <v>0</v>
      </c>
      <c r="L65" s="256">
        <f t="shared" si="16"/>
        <v>0</v>
      </c>
      <c r="U65" s="365" t="s">
        <v>397</v>
      </c>
      <c r="V65" s="427">
        <v>124.8</v>
      </c>
      <c r="W65" s="792"/>
      <c r="X65" s="792"/>
      <c r="Y65" s="792"/>
      <c r="Z65" s="792"/>
      <c r="AA65" s="793"/>
    </row>
    <row r="66" spans="2:27">
      <c r="U66" s="365" t="s">
        <v>400</v>
      </c>
      <c r="V66" s="427">
        <v>63.4</v>
      </c>
      <c r="W66" s="792"/>
      <c r="X66" s="792"/>
      <c r="Y66" s="792"/>
      <c r="Z66" s="792"/>
      <c r="AA66" s="793"/>
    </row>
    <row r="67" spans="2:27">
      <c r="U67" s="436" t="s">
        <v>378</v>
      </c>
      <c r="V67" s="794"/>
      <c r="W67" s="795"/>
      <c r="X67" s="795"/>
      <c r="Y67" s="795"/>
      <c r="Z67" s="795"/>
      <c r="AA67" s="796"/>
    </row>
    <row r="68" spans="2:27">
      <c r="U68" s="365" t="s">
        <v>384</v>
      </c>
      <c r="V68" s="286">
        <v>596.6</v>
      </c>
      <c r="W68" s="792">
        <v>1000</v>
      </c>
      <c r="X68" s="792">
        <v>500</v>
      </c>
      <c r="Y68" s="792">
        <v>2300</v>
      </c>
      <c r="Z68" s="792">
        <v>750</v>
      </c>
      <c r="AA68" s="793">
        <v>3861</v>
      </c>
    </row>
    <row r="69" spans="2:27">
      <c r="U69" s="365" t="s">
        <v>387</v>
      </c>
      <c r="V69" s="286">
        <v>365.1</v>
      </c>
      <c r="W69" s="792"/>
      <c r="X69" s="792"/>
      <c r="Y69" s="792"/>
      <c r="Z69" s="792"/>
      <c r="AA69" s="793"/>
    </row>
    <row r="70" spans="2:27">
      <c r="U70" s="365" t="s">
        <v>503</v>
      </c>
      <c r="V70" s="286">
        <v>733.4</v>
      </c>
      <c r="W70" s="792"/>
      <c r="X70" s="792"/>
      <c r="Y70" s="792"/>
      <c r="Z70" s="792"/>
      <c r="AA70" s="793"/>
    </row>
    <row r="71" spans="2:27">
      <c r="U71" s="365" t="s">
        <v>392</v>
      </c>
      <c r="V71" s="286">
        <v>414.1</v>
      </c>
      <c r="W71" s="792"/>
      <c r="X71" s="792"/>
      <c r="Y71" s="792"/>
      <c r="Z71" s="792"/>
      <c r="AA71" s="793"/>
    </row>
    <row r="72" spans="2:27">
      <c r="U72" s="365" t="s">
        <v>395</v>
      </c>
      <c r="V72" s="286">
        <v>561.9</v>
      </c>
      <c r="W72" s="792"/>
      <c r="X72" s="792"/>
      <c r="Y72" s="792"/>
      <c r="Z72" s="792"/>
      <c r="AA72" s="793"/>
    </row>
    <row r="73" spans="2:27">
      <c r="U73" s="365" t="s">
        <v>398</v>
      </c>
      <c r="V73" s="286">
        <v>985.1</v>
      </c>
      <c r="W73" s="792"/>
      <c r="X73" s="792"/>
      <c r="Y73" s="792"/>
      <c r="Z73" s="792"/>
      <c r="AA73" s="793"/>
    </row>
    <row r="74" spans="2:27">
      <c r="U74" s="365" t="s">
        <v>401</v>
      </c>
      <c r="V74" s="286">
        <v>718.7</v>
      </c>
      <c r="W74" s="792"/>
      <c r="X74" s="792"/>
      <c r="Y74" s="792"/>
      <c r="Z74" s="792"/>
      <c r="AA74" s="793"/>
    </row>
    <row r="75" spans="2:27">
      <c r="U75" s="436" t="s">
        <v>279</v>
      </c>
      <c r="V75" s="794"/>
      <c r="W75" s="795"/>
      <c r="X75" s="795"/>
      <c r="Y75" s="795"/>
      <c r="Z75" s="795"/>
      <c r="AA75" s="796"/>
    </row>
    <row r="76" spans="2:27">
      <c r="U76" s="256" t="s">
        <v>385</v>
      </c>
      <c r="V76" s="437">
        <v>125.2</v>
      </c>
      <c r="W76" s="433">
        <v>1000</v>
      </c>
      <c r="X76" s="433">
        <v>1200</v>
      </c>
      <c r="Y76" s="433">
        <v>3000</v>
      </c>
      <c r="Z76" s="433">
        <v>5000</v>
      </c>
      <c r="AA76" s="434">
        <v>5110</v>
      </c>
    </row>
    <row r="77" spans="2:27">
      <c r="U77" s="256" t="s">
        <v>388</v>
      </c>
      <c r="V77" s="437">
        <v>23.4</v>
      </c>
      <c r="W77" s="792">
        <v>400</v>
      </c>
      <c r="X77" s="792">
        <v>500</v>
      </c>
      <c r="Y77" s="792">
        <v>1350</v>
      </c>
      <c r="Z77" s="792">
        <v>550</v>
      </c>
      <c r="AA77" s="793">
        <v>2000</v>
      </c>
    </row>
    <row r="78" spans="2:27">
      <c r="U78" s="286" t="s">
        <v>393</v>
      </c>
      <c r="V78" s="437">
        <v>57.1</v>
      </c>
      <c r="W78" s="792"/>
      <c r="X78" s="792"/>
      <c r="Y78" s="792"/>
      <c r="Z78" s="792"/>
      <c r="AA78" s="793"/>
    </row>
    <row r="79" spans="2:27">
      <c r="U79" s="256" t="s">
        <v>390</v>
      </c>
      <c r="V79" s="437">
        <v>106</v>
      </c>
      <c r="W79" s="792">
        <v>1000</v>
      </c>
      <c r="X79" s="792">
        <v>900</v>
      </c>
      <c r="Y79" s="792">
        <v>3400</v>
      </c>
      <c r="Z79" s="792">
        <v>1600</v>
      </c>
      <c r="AA79" s="793">
        <v>5110</v>
      </c>
    </row>
    <row r="80" spans="2:27">
      <c r="U80" s="369" t="s">
        <v>396</v>
      </c>
      <c r="V80" s="437">
        <v>72.599999999999994</v>
      </c>
      <c r="W80" s="792"/>
      <c r="X80" s="792"/>
      <c r="Y80" s="792"/>
      <c r="Z80" s="792"/>
      <c r="AA80" s="793"/>
    </row>
    <row r="81" spans="21:28">
      <c r="U81" s="365" t="s">
        <v>399</v>
      </c>
      <c r="V81" s="437">
        <v>203.5</v>
      </c>
      <c r="W81" s="792">
        <v>1000</v>
      </c>
      <c r="X81" s="792">
        <v>500</v>
      </c>
      <c r="Y81" s="792">
        <v>2300</v>
      </c>
      <c r="Z81" s="792">
        <v>1100</v>
      </c>
      <c r="AA81" s="793">
        <v>3861</v>
      </c>
      <c r="AB81" s="184"/>
    </row>
    <row r="82" spans="21:28">
      <c r="U82" s="365" t="s">
        <v>402</v>
      </c>
      <c r="V82" s="437">
        <v>287.10000000000002</v>
      </c>
      <c r="W82" s="792"/>
      <c r="X82" s="792"/>
      <c r="Y82" s="792"/>
      <c r="Z82" s="792"/>
      <c r="AA82" s="793"/>
    </row>
    <row r="83" spans="21:28">
      <c r="U83" s="365" t="s">
        <v>403</v>
      </c>
      <c r="V83" s="437">
        <v>252.1</v>
      </c>
      <c r="W83" s="792"/>
      <c r="X83" s="792"/>
      <c r="Y83" s="792"/>
      <c r="Z83" s="792"/>
      <c r="AA83" s="793"/>
    </row>
    <row r="84" spans="21:28">
      <c r="U84" s="365" t="s">
        <v>517</v>
      </c>
      <c r="V84" s="437">
        <v>333.9</v>
      </c>
      <c r="W84" s="792"/>
      <c r="X84" s="792"/>
      <c r="Y84" s="792"/>
      <c r="Z84" s="792"/>
      <c r="AA84" s="793"/>
    </row>
    <row r="85" spans="21:28">
      <c r="U85" s="365" t="s">
        <v>404</v>
      </c>
      <c r="V85" s="437">
        <v>64.3</v>
      </c>
      <c r="W85" s="792"/>
      <c r="X85" s="792"/>
      <c r="Y85" s="792"/>
      <c r="Z85" s="792"/>
      <c r="AA85" s="793"/>
    </row>
    <row r="86" spans="21:28">
      <c r="U86" s="365" t="s">
        <v>405</v>
      </c>
      <c r="V86" s="437">
        <v>69.3</v>
      </c>
      <c r="W86" s="792"/>
      <c r="X86" s="792"/>
      <c r="Y86" s="792"/>
      <c r="Z86" s="792"/>
      <c r="AA86" s="793"/>
    </row>
    <row r="87" spans="21:28">
      <c r="U87" s="256" t="s">
        <v>406</v>
      </c>
      <c r="V87" s="437">
        <v>54.6</v>
      </c>
      <c r="W87" s="792">
        <v>800</v>
      </c>
      <c r="X87" s="792">
        <v>400</v>
      </c>
      <c r="Y87" s="792">
        <v>2100</v>
      </c>
      <c r="Z87" s="792">
        <v>450</v>
      </c>
      <c r="AA87" s="792">
        <v>2850</v>
      </c>
    </row>
    <row r="88" spans="21:28">
      <c r="U88" s="436" t="s">
        <v>612</v>
      </c>
      <c r="V88" s="286"/>
      <c r="W88" s="792"/>
      <c r="X88" s="792"/>
      <c r="Y88" s="792"/>
      <c r="Z88" s="792"/>
      <c r="AA88" s="792"/>
    </row>
  </sheetData>
  <sheetProtection selectLockedCells="1"/>
  <mergeCells count="74">
    <mergeCell ref="V59:AA59"/>
    <mergeCell ref="V67:AA67"/>
    <mergeCell ref="V75:AA75"/>
    <mergeCell ref="W87:W88"/>
    <mergeCell ref="X87:X88"/>
    <mergeCell ref="Y87:Y88"/>
    <mergeCell ref="Z87:Z88"/>
    <mergeCell ref="AA87:AA88"/>
    <mergeCell ref="W81:W86"/>
    <mergeCell ref="X81:X86"/>
    <mergeCell ref="Y81:Y86"/>
    <mergeCell ref="Z81:Z86"/>
    <mergeCell ref="AA81:AA86"/>
    <mergeCell ref="W79:W80"/>
    <mergeCell ref="X79:X80"/>
    <mergeCell ref="Y79:Y80"/>
    <mergeCell ref="Z79:Z80"/>
    <mergeCell ref="AA79:AA80"/>
    <mergeCell ref="W77:W78"/>
    <mergeCell ref="X77:X78"/>
    <mergeCell ref="Y77:Y78"/>
    <mergeCell ref="Z77:Z78"/>
    <mergeCell ref="AA77:AA78"/>
    <mergeCell ref="W68:W74"/>
    <mergeCell ref="X68:X74"/>
    <mergeCell ref="Y68:Y74"/>
    <mergeCell ref="Z68:Z74"/>
    <mergeCell ref="AA68:AA74"/>
    <mergeCell ref="X60:X66"/>
    <mergeCell ref="Y60:Y66"/>
    <mergeCell ref="Z60:Z66"/>
    <mergeCell ref="AA60:AA66"/>
    <mergeCell ref="W60:W66"/>
    <mergeCell ref="W57:W58"/>
    <mergeCell ref="X57:X58"/>
    <mergeCell ref="Y57:Y58"/>
    <mergeCell ref="Z57:Z58"/>
    <mergeCell ref="AA57:AA58"/>
    <mergeCell ref="D62:E62"/>
    <mergeCell ref="D63:E63"/>
    <mergeCell ref="D64:E64"/>
    <mergeCell ref="D65:E65"/>
    <mergeCell ref="D58:E58"/>
    <mergeCell ref="D59:E59"/>
    <mergeCell ref="D60:E60"/>
    <mergeCell ref="D61:E61"/>
    <mergeCell ref="B54:B55"/>
    <mergeCell ref="C54:C55"/>
    <mergeCell ref="D54:E55"/>
    <mergeCell ref="F54:F55"/>
    <mergeCell ref="G54:G55"/>
    <mergeCell ref="D56:E56"/>
    <mergeCell ref="H9:H10"/>
    <mergeCell ref="U35:U36"/>
    <mergeCell ref="U38:AA38"/>
    <mergeCell ref="L9:L10"/>
    <mergeCell ref="N17:N18"/>
    <mergeCell ref="H54:H55"/>
    <mergeCell ref="I54:I55"/>
    <mergeCell ref="J54:J55"/>
    <mergeCell ref="K54:K55"/>
    <mergeCell ref="L54:L55"/>
    <mergeCell ref="V55:V56"/>
    <mergeCell ref="W55:AA55"/>
    <mergeCell ref="B9:B10"/>
    <mergeCell ref="C9:C10"/>
    <mergeCell ref="D9:E10"/>
    <mergeCell ref="F9:F10"/>
    <mergeCell ref="G9:G10"/>
    <mergeCell ref="M4:N4"/>
    <mergeCell ref="I9:I10"/>
    <mergeCell ref="J9:J10"/>
    <mergeCell ref="K9:K10"/>
    <mergeCell ref="L5:O8"/>
  </mergeCells>
  <phoneticPr fontId="22"/>
  <conditionalFormatting sqref="E11:E50">
    <cfRule type="expression" dxfId="9" priority="1">
      <formula>$E11&lt;&gt;""</formula>
    </cfRule>
    <cfRule type="expression" dxfId="8" priority="2">
      <formula>$D11&lt;&gt;""</formula>
    </cfRule>
    <cfRule type="expression" dxfId="7" priority="8">
      <formula>OR(D11=$W$9,D11=$X$9)</formula>
    </cfRule>
  </conditionalFormatting>
  <conditionalFormatting sqref="F58:F65 H58:H65">
    <cfRule type="expression" dxfId="6" priority="4">
      <formula>$D58&lt;&gt;""</formula>
    </cfRule>
  </conditionalFormatting>
  <dataValidations count="3">
    <dataValidation type="list" allowBlank="1" showInputMessage="1" showErrorMessage="1" sqref="E11:E20">
      <formula1>INDIRECT(D11)</formula1>
    </dataValidation>
    <dataValidation type="list" showInputMessage="1" showErrorMessage="1" sqref="E21:E50">
      <formula1>INDIRECT(D21)</formula1>
    </dataValidation>
    <dataValidation type="list" allowBlank="1" showInputMessage="1" showErrorMessage="1" sqref="D11:D50">
      <formula1>$T$9:$W$9</formula1>
    </dataValidation>
  </dataValidations>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27"/>
  <sheetViews>
    <sheetView showGridLines="0" topLeftCell="A2" zoomScale="145" zoomScaleNormal="145" workbookViewId="0">
      <selection activeCell="T46" sqref="T46"/>
    </sheetView>
  </sheetViews>
  <sheetFormatPr defaultRowHeight="13.5"/>
  <cols>
    <col min="1" max="1" width="9" style="252"/>
    <col min="2" max="2" width="14.875" style="252" customWidth="1"/>
    <col min="3" max="19" width="15.125" style="252" customWidth="1"/>
    <col min="20" max="16384" width="9" style="252"/>
  </cols>
  <sheetData>
    <row r="1" spans="2:15">
      <c r="B1" s="252" t="s">
        <v>426</v>
      </c>
    </row>
    <row r="2" spans="2:15" ht="14.25" customHeight="1"/>
    <row r="3" spans="2:15" ht="13.5" customHeight="1">
      <c r="B3" s="252" t="s">
        <v>282</v>
      </c>
      <c r="C3" s="252" t="s">
        <v>427</v>
      </c>
    </row>
    <row r="4" spans="2:15" ht="31.5" customHeight="1"/>
    <row r="5" spans="2:15">
      <c r="B5" s="252" t="s">
        <v>428</v>
      </c>
      <c r="C5" s="252" t="s">
        <v>429</v>
      </c>
      <c r="D5" s="252" t="s">
        <v>430</v>
      </c>
      <c r="E5" s="475" t="s">
        <v>643</v>
      </c>
    </row>
    <row r="6" spans="2:15" ht="94.5" customHeight="1">
      <c r="D6" s="266"/>
      <c r="E6" s="266"/>
    </row>
    <row r="7" spans="2:15" hidden="1"/>
    <row r="8" spans="2:15">
      <c r="B8" s="252" t="s">
        <v>304</v>
      </c>
      <c r="C8" s="252" t="s">
        <v>305</v>
      </c>
      <c r="D8" s="252" t="s">
        <v>306</v>
      </c>
      <c r="E8" s="252" t="s">
        <v>307</v>
      </c>
      <c r="F8" s="252" t="s">
        <v>308</v>
      </c>
      <c r="G8" s="252" t="s">
        <v>309</v>
      </c>
      <c r="H8" s="252" t="s">
        <v>310</v>
      </c>
      <c r="I8" s="252" t="s">
        <v>311</v>
      </c>
      <c r="J8" s="252" t="s">
        <v>312</v>
      </c>
      <c r="K8" s="252" t="s">
        <v>313</v>
      </c>
      <c r="L8" s="475" t="s">
        <v>645</v>
      </c>
    </row>
    <row r="9" spans="2:15" ht="37.5" customHeight="1">
      <c r="B9" s="266"/>
      <c r="C9" s="266"/>
      <c r="D9" s="266"/>
      <c r="E9" s="266"/>
      <c r="F9" s="266"/>
      <c r="G9" s="266"/>
      <c r="H9" s="266"/>
      <c r="I9" s="266"/>
      <c r="J9" s="266"/>
      <c r="K9" s="266"/>
      <c r="L9" s="266"/>
    </row>
    <row r="10" spans="2:15" ht="37.5" customHeight="1">
      <c r="B10" s="252" t="s">
        <v>431</v>
      </c>
      <c r="C10" s="252" t="s">
        <v>432</v>
      </c>
    </row>
    <row r="11" spans="2:15" ht="50.25" customHeight="1"/>
    <row r="12" spans="2:15" ht="26.25" customHeight="1">
      <c r="B12" s="252" t="s">
        <v>327</v>
      </c>
      <c r="C12" s="252" t="s">
        <v>329</v>
      </c>
      <c r="D12" s="252" t="s">
        <v>433</v>
      </c>
    </row>
    <row r="13" spans="2:15" ht="31.5" customHeight="1">
      <c r="B13" s="266"/>
      <c r="C13" s="266"/>
    </row>
    <row r="14" spans="2:15" ht="15.95" customHeight="1">
      <c r="B14" s="327" t="s">
        <v>434</v>
      </c>
      <c r="C14" s="327" t="s">
        <v>435</v>
      </c>
      <c r="D14" s="327" t="s">
        <v>335</v>
      </c>
      <c r="E14" s="301" t="s">
        <v>336</v>
      </c>
      <c r="F14" s="301" t="s">
        <v>337</v>
      </c>
      <c r="G14" s="301" t="s">
        <v>338</v>
      </c>
      <c r="H14" s="468" t="s">
        <v>631</v>
      </c>
      <c r="I14" s="468" t="s">
        <v>632</v>
      </c>
      <c r="J14" s="468" t="s">
        <v>633</v>
      </c>
      <c r="K14" s="468" t="s">
        <v>634</v>
      </c>
      <c r="L14" s="468" t="s">
        <v>635</v>
      </c>
      <c r="M14" s="468" t="s">
        <v>636</v>
      </c>
      <c r="N14" s="468" t="s">
        <v>637</v>
      </c>
      <c r="O14" s="313" t="s">
        <v>436</v>
      </c>
    </row>
    <row r="15" spans="2:15" ht="31.5" customHeight="1">
      <c r="B15" s="266"/>
      <c r="C15" s="266"/>
      <c r="D15" s="266"/>
      <c r="E15" s="266"/>
      <c r="F15" s="266"/>
      <c r="G15" s="266"/>
      <c r="H15" s="266"/>
      <c r="I15" s="266"/>
      <c r="J15" s="266"/>
      <c r="K15" s="298"/>
      <c r="L15" s="266"/>
      <c r="M15" s="266"/>
      <c r="N15" s="266"/>
      <c r="O15" s="266"/>
    </row>
    <row r="16" spans="2:15">
      <c r="B16" s="266"/>
      <c r="C16" s="266"/>
      <c r="D16" s="266"/>
      <c r="E16" s="266"/>
      <c r="F16" s="266"/>
      <c r="G16" s="266"/>
      <c r="K16" s="298"/>
    </row>
    <row r="17" spans="1:18" ht="15.95" customHeight="1">
      <c r="B17" s="303" t="s">
        <v>437</v>
      </c>
      <c r="C17" s="303" t="s">
        <v>438</v>
      </c>
      <c r="D17" s="303" t="s">
        <v>439</v>
      </c>
      <c r="E17" s="328" t="s">
        <v>440</v>
      </c>
      <c r="F17" s="303" t="s">
        <v>441</v>
      </c>
      <c r="G17" s="303" t="s">
        <v>442</v>
      </c>
      <c r="H17" s="303" t="s">
        <v>443</v>
      </c>
      <c r="I17" s="303" t="s">
        <v>444</v>
      </c>
      <c r="K17" s="298"/>
    </row>
    <row r="18" spans="1:18" ht="31.5" customHeight="1">
      <c r="B18" s="266"/>
      <c r="C18" s="266"/>
      <c r="D18" s="266"/>
      <c r="E18" s="266"/>
      <c r="F18" s="266"/>
      <c r="G18" s="266"/>
      <c r="H18" s="266"/>
      <c r="K18" s="329"/>
    </row>
    <row r="19" spans="1:18">
      <c r="K19" s="298"/>
    </row>
    <row r="20" spans="1:18">
      <c r="B20" s="468" t="s">
        <v>638</v>
      </c>
      <c r="G20" s="252" t="s">
        <v>445</v>
      </c>
    </row>
    <row r="21" spans="1:18" ht="72.400000000000006" customHeight="1">
      <c r="A21" s="266"/>
      <c r="B21" s="266"/>
      <c r="C21" s="266"/>
      <c r="D21" s="266"/>
      <c r="E21" s="266"/>
      <c r="F21" s="266"/>
      <c r="G21" s="266"/>
      <c r="H21" s="266"/>
      <c r="I21" s="266"/>
      <c r="J21" s="266"/>
      <c r="K21" s="298"/>
      <c r="L21" s="266"/>
      <c r="M21" s="266"/>
      <c r="N21" s="266"/>
      <c r="O21" s="266"/>
      <c r="P21" s="266"/>
      <c r="Q21" s="266"/>
      <c r="R21" s="266"/>
    </row>
    <row r="22" spans="1:18">
      <c r="B22" s="291" t="s">
        <v>446</v>
      </c>
      <c r="C22" s="291" t="s">
        <v>447</v>
      </c>
      <c r="D22" s="291" t="s">
        <v>448</v>
      </c>
      <c r="E22" s="291" t="s">
        <v>449</v>
      </c>
      <c r="F22" s="291" t="s">
        <v>450</v>
      </c>
      <c r="G22" s="474" t="s">
        <v>642</v>
      </c>
      <c r="H22" s="266"/>
      <c r="I22" s="266"/>
      <c r="J22" s="266"/>
      <c r="K22" s="266"/>
      <c r="L22" s="266"/>
      <c r="M22" s="266"/>
    </row>
    <row r="23" spans="1:18" ht="29.25" customHeight="1">
      <c r="B23" s="266"/>
      <c r="C23" s="266"/>
      <c r="D23" s="266"/>
      <c r="E23" s="266"/>
      <c r="F23" s="266"/>
      <c r="H23" s="266"/>
      <c r="I23" s="266"/>
      <c r="J23" s="266"/>
      <c r="K23" s="266"/>
      <c r="L23" s="266"/>
    </row>
    <row r="24" spans="1:18">
      <c r="B24" s="291" t="s">
        <v>349</v>
      </c>
      <c r="C24" s="291" t="s">
        <v>372</v>
      </c>
      <c r="D24" s="291" t="s">
        <v>371</v>
      </c>
      <c r="E24" s="291" t="s">
        <v>373</v>
      </c>
      <c r="F24" s="291" t="s">
        <v>451</v>
      </c>
      <c r="H24" s="266"/>
      <c r="I24" s="266"/>
      <c r="J24" s="266"/>
      <c r="K24" s="266"/>
      <c r="L24" s="266"/>
    </row>
    <row r="25" spans="1:18" ht="72.599999999999994" customHeight="1"/>
    <row r="26" spans="1:18">
      <c r="B26" s="291" t="s">
        <v>346</v>
      </c>
      <c r="I26" s="266"/>
      <c r="J26" s="266"/>
      <c r="K26" s="266"/>
      <c r="L26" s="266"/>
    </row>
    <row r="27" spans="1:18" ht="74.45" customHeight="1">
      <c r="H27" s="266"/>
      <c r="I27" s="266"/>
      <c r="J27" s="266"/>
      <c r="K27" s="266"/>
      <c r="L27" s="266"/>
    </row>
  </sheetData>
  <phoneticPr fontId="64"/>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sheetPr>
  <dimension ref="A1:CC302"/>
  <sheetViews>
    <sheetView showGridLines="0" topLeftCell="A8" zoomScaleNormal="100" workbookViewId="0">
      <selection activeCell="G13" sqref="G13:H14"/>
    </sheetView>
  </sheetViews>
  <sheetFormatPr defaultRowHeight="13.5"/>
  <cols>
    <col min="1" max="3" width="1.625" customWidth="1"/>
    <col min="4" max="4" width="5.875" customWidth="1"/>
    <col min="5" max="5" width="8.625" customWidth="1"/>
    <col min="6" max="7" width="6.625" customWidth="1"/>
    <col min="8" max="8" width="7.875" customWidth="1"/>
    <col min="9" max="9" width="7.5" customWidth="1"/>
    <col min="10" max="14" width="6.625" customWidth="1"/>
    <col min="15" max="15" width="3.5" customWidth="1"/>
    <col min="16" max="19" width="4.625" customWidth="1"/>
    <col min="20" max="21" width="8.625" customWidth="1"/>
    <col min="22" max="22" width="1.625" customWidth="1"/>
    <col min="23" max="25" width="9" customWidth="1"/>
    <col min="26" max="26" width="14" customWidth="1"/>
    <col min="27" max="27" width="10.25" customWidth="1"/>
    <col min="28" max="30" width="11.625" customWidth="1"/>
    <col min="31" max="31" width="10.5" customWidth="1"/>
    <col min="32" max="34" width="11.625" customWidth="1"/>
    <col min="35" max="51" width="9" customWidth="1"/>
    <col min="52" max="52" width="9.5" customWidth="1"/>
    <col min="53" max="79" width="9" customWidth="1"/>
  </cols>
  <sheetData>
    <row r="1" spans="1:81">
      <c r="X1" s="239"/>
      <c r="Y1" s="239" t="s">
        <v>150</v>
      </c>
      <c r="Z1" s="239" t="s">
        <v>220</v>
      </c>
      <c r="AN1">
        <f>'[2]4_エネルギー使用量 (その他)'!AA16</f>
        <v>0</v>
      </c>
      <c r="AT1" s="31" t="s">
        <v>245</v>
      </c>
    </row>
    <row r="2" spans="1:81" ht="14.25" thickBot="1">
      <c r="B2" s="802"/>
      <c r="C2" s="802"/>
      <c r="D2" s="11" t="s">
        <v>265</v>
      </c>
      <c r="E2" s="11"/>
      <c r="X2" s="239" t="s">
        <v>235</v>
      </c>
      <c r="Y2" s="67" t="e">
        <f>X64</f>
        <v>#VALUE!</v>
      </c>
      <c r="Z2" s="129" t="e">
        <f>Y64</f>
        <v>#VALUE!</v>
      </c>
    </row>
    <row r="3" spans="1:81">
      <c r="B3" s="803"/>
      <c r="C3" s="803"/>
      <c r="D3" s="11" t="s">
        <v>268</v>
      </c>
      <c r="E3" s="11"/>
      <c r="N3" s="101"/>
      <c r="AT3" s="172" t="s">
        <v>220</v>
      </c>
      <c r="AU3" s="173" t="s">
        <v>150</v>
      </c>
      <c r="AV3" s="173" t="s">
        <v>166</v>
      </c>
      <c r="AW3" s="173"/>
      <c r="AX3" s="173" t="s">
        <v>220</v>
      </c>
      <c r="AY3" s="173" t="s">
        <v>150</v>
      </c>
      <c r="AZ3" s="173" t="s">
        <v>529</v>
      </c>
      <c r="BA3" s="173"/>
      <c r="BB3" s="173" t="s">
        <v>220</v>
      </c>
      <c r="BC3" s="173" t="s">
        <v>150</v>
      </c>
      <c r="BD3" s="173" t="s">
        <v>530</v>
      </c>
      <c r="BE3" s="173"/>
      <c r="BF3" s="173" t="s">
        <v>220</v>
      </c>
      <c r="BG3" s="173" t="s">
        <v>150</v>
      </c>
      <c r="BH3" s="173" t="s">
        <v>531</v>
      </c>
      <c r="BI3" s="173"/>
      <c r="BJ3" s="173" t="s">
        <v>220</v>
      </c>
      <c r="BK3" s="173" t="s">
        <v>150</v>
      </c>
      <c r="BL3" s="173" t="s">
        <v>532</v>
      </c>
      <c r="BM3" s="173"/>
      <c r="BN3" s="173" t="s">
        <v>220</v>
      </c>
      <c r="BO3" s="173" t="s">
        <v>150</v>
      </c>
      <c r="BP3" s="173" t="s">
        <v>533</v>
      </c>
      <c r="BQ3" s="173"/>
      <c r="BR3" s="173" t="s">
        <v>220</v>
      </c>
      <c r="BS3" s="173" t="s">
        <v>150</v>
      </c>
      <c r="BT3" s="173" t="s">
        <v>534</v>
      </c>
      <c r="BU3" s="173"/>
      <c r="BV3" s="173" t="s">
        <v>220</v>
      </c>
      <c r="BW3" s="173" t="s">
        <v>150</v>
      </c>
      <c r="BX3" s="173" t="s">
        <v>535</v>
      </c>
      <c r="BY3" s="379"/>
      <c r="BZ3" s="120"/>
      <c r="CA3" s="120"/>
      <c r="CB3" s="120"/>
      <c r="CC3" s="120"/>
    </row>
    <row r="4" spans="1:81">
      <c r="B4" s="804"/>
      <c r="C4" s="804"/>
      <c r="D4" s="11" t="s">
        <v>269</v>
      </c>
      <c r="E4" s="11"/>
      <c r="N4" s="102"/>
      <c r="AS4" s="132"/>
      <c r="AT4" s="380" t="e">
        <f>IF($Z$2="",0,IF($Z$2&gt;95.4,1,0))</f>
        <v>#VALUE!</v>
      </c>
      <c r="AU4" s="139" t="e">
        <f>IF($Y$2="",0,IF($Y$2&gt;AW4,1,0))</f>
        <v>#VALUE!</v>
      </c>
      <c r="AV4" s="130" t="s">
        <v>224</v>
      </c>
      <c r="AW4" s="139">
        <v>95.4</v>
      </c>
      <c r="AX4" s="147" t="e">
        <f>IF($Z$2="",0,IF($Z$2&gt;BA4,1,0))</f>
        <v>#VALUE!</v>
      </c>
      <c r="AY4" s="139" t="e">
        <f>IF($Y$2="",0,IF($Y$2&gt;BA4,1,0))</f>
        <v>#VALUE!</v>
      </c>
      <c r="AZ4" s="130" t="s">
        <v>224</v>
      </c>
      <c r="BA4" s="130">
        <v>78</v>
      </c>
      <c r="BB4" s="147" t="e">
        <f>IF($Z$2="",0,IF($Z$2&gt;BE4,1,0))</f>
        <v>#VALUE!</v>
      </c>
      <c r="BC4" s="139" t="e">
        <f>IF($Y$2="",0,IF($Y$2&gt;BE4,1,0))</f>
        <v>#VALUE!</v>
      </c>
      <c r="BD4" s="130" t="s">
        <v>224</v>
      </c>
      <c r="BE4" s="130">
        <v>92.9</v>
      </c>
      <c r="BF4" s="147" t="e">
        <f>IF($Z$2="",0,IF($Z$2&gt;BI4,1,0))</f>
        <v>#VALUE!</v>
      </c>
      <c r="BG4" s="139" t="e">
        <f>IF($Y$2="",0,IF($Y$2&gt;BI4,1,0))</f>
        <v>#VALUE!</v>
      </c>
      <c r="BH4" s="130" t="s">
        <v>224</v>
      </c>
      <c r="BI4" s="130">
        <v>89.6</v>
      </c>
      <c r="BJ4" s="147" t="e">
        <f>IF($Z$2="",0,IF($Z$2&gt;BM4,1,0))</f>
        <v>#VALUE!</v>
      </c>
      <c r="BK4" s="139" t="e">
        <f>IF($Y$2="",0,IF($Y$2&gt;BM4,1,0))</f>
        <v>#VALUE!</v>
      </c>
      <c r="BL4" s="130" t="s">
        <v>224</v>
      </c>
      <c r="BM4" s="130">
        <v>89.4</v>
      </c>
      <c r="BN4" s="147" t="e">
        <f>IF($Z$2="",0,IF($Z$2&gt;BQ4,1,0))</f>
        <v>#VALUE!</v>
      </c>
      <c r="BO4" s="139" t="e">
        <f>IF($Y$2="",0,IF($Y$2&gt;BQ4,1,0))</f>
        <v>#VALUE!</v>
      </c>
      <c r="BP4" s="130" t="s">
        <v>224</v>
      </c>
      <c r="BQ4" s="130">
        <v>248.3</v>
      </c>
      <c r="BR4" s="147" t="e">
        <f>IF($Z$2="",0,IF($Z$2&gt;BU4,1,0))</f>
        <v>#VALUE!</v>
      </c>
      <c r="BS4" s="139" t="e">
        <f>IF($Y$2="",0,IF($Y$2&gt;BU4,1,0))</f>
        <v>#VALUE!</v>
      </c>
      <c r="BT4" s="130" t="s">
        <v>224</v>
      </c>
      <c r="BU4" s="130">
        <v>208.2</v>
      </c>
      <c r="BV4" s="147" t="e">
        <f>IF($Z$2="",0,IF($Z$2&gt;BY4,1,0))</f>
        <v>#VALUE!</v>
      </c>
      <c r="BW4" s="139" t="e">
        <f>IF($Y$2="",0,IF($Y$2&gt;BY4,1,0))</f>
        <v>#VALUE!</v>
      </c>
      <c r="BX4" s="130" t="s">
        <v>224</v>
      </c>
      <c r="BY4" s="381">
        <v>149.4</v>
      </c>
      <c r="BZ4" s="8"/>
      <c r="CA4" s="8"/>
      <c r="CB4" s="363"/>
      <c r="CC4" s="131"/>
    </row>
    <row r="5" spans="1:81">
      <c r="A5" s="8"/>
      <c r="B5" s="805"/>
      <c r="C5" s="805"/>
      <c r="D5" s="70" t="s">
        <v>223</v>
      </c>
      <c r="E5" s="70"/>
      <c r="P5" s="100"/>
      <c r="AS5" s="133"/>
      <c r="AT5" s="380" t="e">
        <f>IF(AND($Z$2&gt;73.2,$Z$2&lt;=95.4),1,0)</f>
        <v>#VALUE!</v>
      </c>
      <c r="AU5" s="139" t="e">
        <f>IF(AND($Y$2&gt;73.2,$Y$2&lt;=95.4),1,0)</f>
        <v>#VALUE!</v>
      </c>
      <c r="AV5" s="137" t="s">
        <v>225</v>
      </c>
      <c r="AW5" s="139" t="s">
        <v>536</v>
      </c>
      <c r="AX5" s="147" t="e">
        <f>IF(AND($Z$2&gt;BA5,$Z$2&lt;=BA4),1,0)</f>
        <v>#VALUE!</v>
      </c>
      <c r="AY5" s="139" t="e">
        <f>IF(AND($Y$2&gt;BA5,$Y$2&lt;=BA4),1,0)</f>
        <v>#VALUE!</v>
      </c>
      <c r="AZ5" s="137" t="s">
        <v>225</v>
      </c>
      <c r="BA5" s="130">
        <v>59.8</v>
      </c>
      <c r="BB5" s="147" t="e">
        <f>IF(AND($Z$2&gt;BE5,$Z$2&lt;=BE4),1,0)</f>
        <v>#VALUE!</v>
      </c>
      <c r="BC5" s="139" t="e">
        <f>IF(AND($Y$2&gt;BE5,$Y$2&lt;=BE4),1,0)</f>
        <v>#VALUE!</v>
      </c>
      <c r="BD5" s="137" t="s">
        <v>225</v>
      </c>
      <c r="BE5" s="130">
        <v>71.2</v>
      </c>
      <c r="BF5" s="147" t="e">
        <f>IF(AND($Z$2&gt;BI5,$Z$2&lt;=BI4),1,0)</f>
        <v>#VALUE!</v>
      </c>
      <c r="BG5" s="139" t="e">
        <f>IF(AND($Y$2&gt;BI5,$Y$2&lt;=BI4),1,0)</f>
        <v>#VALUE!</v>
      </c>
      <c r="BH5" s="137" t="s">
        <v>225</v>
      </c>
      <c r="BI5" s="130">
        <v>68.7</v>
      </c>
      <c r="BJ5" s="147" t="e">
        <f>IF(AND($Z$2&gt;BM5,$Z$2&lt;=BM4),1,0)</f>
        <v>#VALUE!</v>
      </c>
      <c r="BK5" s="139" t="e">
        <f>IF(AND($Y$2&gt;BM5,$Y$2&lt;=BM4),1,0)</f>
        <v>#VALUE!</v>
      </c>
      <c r="BL5" s="137" t="s">
        <v>225</v>
      </c>
      <c r="BM5" s="130">
        <v>68.599999999999994</v>
      </c>
      <c r="BN5" s="147" t="e">
        <f>IF(AND($Z$2&gt;BQ5,$Z$2&lt;=BQ4),1,0)</f>
        <v>#VALUE!</v>
      </c>
      <c r="BO5" s="139" t="e">
        <f>IF(AND($Y$2&gt;BQ5,$Y$2&lt;=BQ4),1,0)</f>
        <v>#VALUE!</v>
      </c>
      <c r="BP5" s="137" t="s">
        <v>225</v>
      </c>
      <c r="BQ5" s="130">
        <v>190.4</v>
      </c>
      <c r="BR5" s="147" t="e">
        <f>IF(AND($Z$2&gt;BU5,$Z$2&lt;=BU4),1,0)</f>
        <v>#VALUE!</v>
      </c>
      <c r="BS5" s="139" t="e">
        <f>IF(AND($Y$2&gt;BU5,$Y$2&lt;=BU4),1,0)</f>
        <v>#VALUE!</v>
      </c>
      <c r="BT5" s="137" t="s">
        <v>225</v>
      </c>
      <c r="BU5" s="130">
        <v>159.69999999999999</v>
      </c>
      <c r="BV5" s="147" t="e">
        <f>IF(AND($Z$2&gt;BY5,$Z$2&lt;=BY4),1,0)</f>
        <v>#VALUE!</v>
      </c>
      <c r="BW5" s="139" t="e">
        <f>IF(AND($Y$2&gt;BY5,$Y$2&lt;=BY4),1,0)</f>
        <v>#VALUE!</v>
      </c>
      <c r="BX5" s="137" t="s">
        <v>225</v>
      </c>
      <c r="BY5" s="381">
        <v>114.6</v>
      </c>
      <c r="BZ5" s="176"/>
      <c r="CA5" s="141"/>
      <c r="CB5" s="177"/>
      <c r="CC5" s="178"/>
    </row>
    <row r="6" spans="1:81" ht="9.9499999999999993" customHeight="1">
      <c r="A6" s="1"/>
      <c r="B6" s="8"/>
      <c r="C6" s="8"/>
      <c r="D6" s="8"/>
      <c r="E6" s="8"/>
      <c r="F6" s="8"/>
      <c r="G6" s="8"/>
      <c r="H6" s="8"/>
      <c r="I6" s="8"/>
      <c r="J6" s="8"/>
      <c r="K6" s="8"/>
      <c r="L6" s="8"/>
      <c r="M6" s="8"/>
      <c r="N6" s="8"/>
      <c r="O6" s="99"/>
      <c r="P6" s="8"/>
      <c r="Q6" s="8"/>
      <c r="R6" s="99"/>
      <c r="S6" s="8"/>
      <c r="T6" s="8"/>
      <c r="U6" s="8"/>
      <c r="V6" s="8"/>
      <c r="AS6" s="8"/>
      <c r="AT6" s="380" t="e">
        <f>IF(AND($Z$2&gt;70,$Z$2&lt;=73.2),1,0)</f>
        <v>#VALUE!</v>
      </c>
      <c r="AU6" s="139" t="e">
        <f>IF(AND($Y$2&gt;70,$Y$2&lt;=73.2),1,0)</f>
        <v>#VALUE!</v>
      </c>
      <c r="AV6" s="137" t="s">
        <v>154</v>
      </c>
      <c r="AW6" s="139" t="s">
        <v>537</v>
      </c>
      <c r="AX6" s="147" t="e">
        <f t="shared" ref="AX6:AX17" si="0">IF(AND($Z$2&gt;BA6,$Z$2&lt;=BA5),1,0)</f>
        <v>#VALUE!</v>
      </c>
      <c r="AY6" s="139" t="e">
        <f t="shared" ref="AY6:AY17" si="1">IF(AND($Y$2&gt;BA6,$Y$2&lt;=BA5),1,0)</f>
        <v>#VALUE!</v>
      </c>
      <c r="AZ6" s="137" t="s">
        <v>154</v>
      </c>
      <c r="BA6" s="130">
        <v>57.2</v>
      </c>
      <c r="BB6" s="147" t="e">
        <f t="shared" ref="BB6:BB17" si="2">IF(AND($Z$2&gt;BE6,$Z$2&lt;=BE5),1,0)</f>
        <v>#VALUE!</v>
      </c>
      <c r="BC6" s="139" t="e">
        <f t="shared" ref="BC6:BC17" si="3">IF(AND($Y$2&gt;BE6,$Y$2&lt;=BE5),1,0)</f>
        <v>#VALUE!</v>
      </c>
      <c r="BD6" s="137" t="s">
        <v>154</v>
      </c>
      <c r="BE6" s="130">
        <v>68.099999999999994</v>
      </c>
      <c r="BF6" s="147" t="e">
        <f t="shared" ref="BF6:BF17" si="4">IF(AND($Z$2&gt;BI6,$Z$2&lt;=BI5),1,0)</f>
        <v>#VALUE!</v>
      </c>
      <c r="BG6" s="139" t="e">
        <f t="shared" ref="BG6:BG17" si="5">IF(AND($Y$2&gt;BI6,$Y$2&lt;=BI5),1,0)</f>
        <v>#VALUE!</v>
      </c>
      <c r="BH6" s="137" t="s">
        <v>154</v>
      </c>
      <c r="BI6" s="130">
        <v>65.7</v>
      </c>
      <c r="BJ6" s="147" t="e">
        <f t="shared" ref="BJ6:BJ17" si="6">IF(AND($Z$2&gt;BM6,$Z$2&lt;=BM5),1,0)</f>
        <v>#VALUE!</v>
      </c>
      <c r="BK6" s="139" t="e">
        <f t="shared" ref="BK6:BK17" si="7">IF(AND($Y$2&gt;BM6,$Y$2&lt;=BM5),1,0)</f>
        <v>#VALUE!</v>
      </c>
      <c r="BL6" s="137" t="s">
        <v>154</v>
      </c>
      <c r="BM6" s="130">
        <v>65.599999999999994</v>
      </c>
      <c r="BN6" s="147" t="e">
        <f t="shared" ref="BN6:BN17" si="8">IF(AND($Z$2&gt;BQ6,$Z$2&lt;=BQ5),1,0)</f>
        <v>#VALUE!</v>
      </c>
      <c r="BO6" s="139" t="e">
        <f t="shared" ref="BO6:BO17" si="9">IF(AND($Y$2&gt;BQ6,$Y$2&lt;=BQ5),1,0)</f>
        <v>#VALUE!</v>
      </c>
      <c r="BP6" s="137" t="s">
        <v>154</v>
      </c>
      <c r="BQ6" s="130">
        <v>182.1</v>
      </c>
      <c r="BR6" s="147" t="e">
        <f t="shared" ref="BR6:BR17" si="10">IF(AND($Z$2&gt;BU6,$Z$2&lt;=BU5),1,0)</f>
        <v>#VALUE!</v>
      </c>
      <c r="BS6" s="139" t="e">
        <f t="shared" ref="BS6:BS17" si="11">IF(AND($Y$2&gt;BU6,$Y$2&lt;=BU5),1,0)</f>
        <v>#VALUE!</v>
      </c>
      <c r="BT6" s="137" t="s">
        <v>154</v>
      </c>
      <c r="BU6" s="130">
        <v>152.69999999999999</v>
      </c>
      <c r="BV6" s="147" t="e">
        <f t="shared" ref="BV6:BV17" si="12">IF(AND($Z$2&gt;BY6,$Z$2&lt;=BY5),1,0)</f>
        <v>#VALUE!</v>
      </c>
      <c r="BW6" s="139" t="e">
        <f t="shared" ref="BW6:BW17" si="13">IF(AND($Y$2&gt;BY6,$Y$2&lt;=BY5),1,0)</f>
        <v>#VALUE!</v>
      </c>
      <c r="BX6" s="137" t="s">
        <v>154</v>
      </c>
      <c r="BY6" s="381">
        <v>109.6</v>
      </c>
      <c r="BZ6" s="176"/>
      <c r="CA6" s="141"/>
      <c r="CB6" s="177"/>
      <c r="CC6" s="178"/>
    </row>
    <row r="7" spans="1:81" ht="21" hidden="1">
      <c r="A7" s="1"/>
      <c r="B7" s="18"/>
      <c r="C7" s="19"/>
      <c r="D7" s="19"/>
      <c r="E7" s="20"/>
      <c r="F7" s="20"/>
      <c r="G7" s="20"/>
      <c r="H7" s="20"/>
      <c r="I7" s="20"/>
      <c r="J7" s="18"/>
      <c r="K7" s="18"/>
      <c r="L7" s="18"/>
      <c r="M7" s="18"/>
      <c r="N7" s="18"/>
      <c r="O7" s="18"/>
      <c r="P7" s="18"/>
      <c r="Q7" s="18"/>
      <c r="R7" s="18"/>
      <c r="S7" s="18"/>
      <c r="T7" s="18"/>
      <c r="U7" s="18"/>
      <c r="V7" s="18"/>
      <c r="Z7" s="44"/>
      <c r="AD7" s="35" t="s">
        <v>51</v>
      </c>
      <c r="AE7" s="35"/>
      <c r="AG7" s="806" t="s">
        <v>250</v>
      </c>
      <c r="AH7" s="32"/>
      <c r="AS7" s="8"/>
      <c r="AT7" s="380" t="e">
        <f>IF(AND($Z$2&gt;66.8,$Z$2&lt;=70),1,0)</f>
        <v>#VALUE!</v>
      </c>
      <c r="AU7" s="139" t="e">
        <f>IF(AND($Y$2&gt;66.8,$Y$2&lt;=70),1,0)</f>
        <v>#VALUE!</v>
      </c>
      <c r="AV7" s="138" t="s">
        <v>226</v>
      </c>
      <c r="AW7" s="139" t="s">
        <v>538</v>
      </c>
      <c r="AX7" s="147" t="e">
        <f t="shared" si="0"/>
        <v>#VALUE!</v>
      </c>
      <c r="AY7" s="139" t="e">
        <f t="shared" si="1"/>
        <v>#VALUE!</v>
      </c>
      <c r="AZ7" s="138" t="s">
        <v>226</v>
      </c>
      <c r="BA7" s="382">
        <v>54.6</v>
      </c>
      <c r="BB7" s="147" t="e">
        <f t="shared" si="2"/>
        <v>#VALUE!</v>
      </c>
      <c r="BC7" s="139" t="e">
        <f t="shared" si="3"/>
        <v>#VALUE!</v>
      </c>
      <c r="BD7" s="138" t="s">
        <v>226</v>
      </c>
      <c r="BE7" s="382">
        <v>65</v>
      </c>
      <c r="BF7" s="147" t="e">
        <f t="shared" si="4"/>
        <v>#VALUE!</v>
      </c>
      <c r="BG7" s="139" t="e">
        <f t="shared" si="5"/>
        <v>#VALUE!</v>
      </c>
      <c r="BH7" s="138" t="s">
        <v>226</v>
      </c>
      <c r="BI7" s="382">
        <v>62.7</v>
      </c>
      <c r="BJ7" s="147" t="e">
        <f t="shared" si="6"/>
        <v>#VALUE!</v>
      </c>
      <c r="BK7" s="139" t="e">
        <f t="shared" si="7"/>
        <v>#VALUE!</v>
      </c>
      <c r="BL7" s="138" t="s">
        <v>226</v>
      </c>
      <c r="BM7" s="382">
        <v>62.6</v>
      </c>
      <c r="BN7" s="147" t="e">
        <f t="shared" si="8"/>
        <v>#VALUE!</v>
      </c>
      <c r="BO7" s="139" t="e">
        <f t="shared" si="9"/>
        <v>#VALUE!</v>
      </c>
      <c r="BP7" s="138" t="s">
        <v>226</v>
      </c>
      <c r="BQ7" s="382">
        <v>173.8</v>
      </c>
      <c r="BR7" s="147" t="e">
        <f t="shared" si="10"/>
        <v>#VALUE!</v>
      </c>
      <c r="BS7" s="139" t="e">
        <f t="shared" si="11"/>
        <v>#VALUE!</v>
      </c>
      <c r="BT7" s="138" t="s">
        <v>226</v>
      </c>
      <c r="BU7" s="382">
        <v>145.80000000000001</v>
      </c>
      <c r="BV7" s="147" t="e">
        <f t="shared" si="12"/>
        <v>#VALUE!</v>
      </c>
      <c r="BW7" s="139" t="e">
        <f t="shared" si="13"/>
        <v>#VALUE!</v>
      </c>
      <c r="BX7" s="138" t="s">
        <v>226</v>
      </c>
      <c r="BY7" s="383">
        <v>104.6</v>
      </c>
      <c r="BZ7" s="176"/>
      <c r="CA7" s="141"/>
      <c r="CB7" s="179"/>
      <c r="CC7" s="180"/>
    </row>
    <row r="8" spans="1:81" ht="7.5" customHeight="1">
      <c r="A8" s="1"/>
      <c r="B8" s="18"/>
      <c r="C8" s="19"/>
      <c r="D8" s="19"/>
      <c r="E8" s="20"/>
      <c r="F8" s="20"/>
      <c r="G8" s="20"/>
      <c r="H8" s="20"/>
      <c r="I8" s="20"/>
      <c r="J8" s="18"/>
      <c r="K8" s="18"/>
      <c r="L8" s="18"/>
      <c r="M8" s="18"/>
      <c r="N8" s="18"/>
      <c r="O8" s="18"/>
      <c r="P8" s="18"/>
      <c r="Q8" s="18"/>
      <c r="R8" s="18"/>
      <c r="S8" s="18"/>
      <c r="T8" s="18"/>
      <c r="U8" s="18"/>
      <c r="V8" s="18"/>
      <c r="AG8" s="807"/>
      <c r="AH8" s="32"/>
      <c r="AS8" s="8"/>
      <c r="AT8" s="380" t="e">
        <f>IF(AND($Z$2&gt;63.6,$Z$2&lt;=66.8),1,0)</f>
        <v>#VALUE!</v>
      </c>
      <c r="AU8" s="139" t="e">
        <f>IF(AND($Y$2&gt;63.6,$Y$2&lt;=66.8),1,0)</f>
        <v>#VALUE!</v>
      </c>
      <c r="AV8" s="137" t="s">
        <v>227</v>
      </c>
      <c r="AW8" s="139" t="s">
        <v>539</v>
      </c>
      <c r="AX8" s="147" t="e">
        <f t="shared" si="0"/>
        <v>#VALUE!</v>
      </c>
      <c r="AY8" s="139" t="e">
        <f t="shared" si="1"/>
        <v>#VALUE!</v>
      </c>
      <c r="AZ8" s="137" t="s">
        <v>227</v>
      </c>
      <c r="BA8" s="130">
        <v>52</v>
      </c>
      <c r="BB8" s="147" t="e">
        <f t="shared" si="2"/>
        <v>#VALUE!</v>
      </c>
      <c r="BC8" s="139" t="e">
        <f t="shared" si="3"/>
        <v>#VALUE!</v>
      </c>
      <c r="BD8" s="137" t="s">
        <v>227</v>
      </c>
      <c r="BE8" s="130">
        <v>61.9</v>
      </c>
      <c r="BF8" s="147" t="e">
        <f t="shared" si="4"/>
        <v>#VALUE!</v>
      </c>
      <c r="BG8" s="139" t="e">
        <f t="shared" si="5"/>
        <v>#VALUE!</v>
      </c>
      <c r="BH8" s="137" t="s">
        <v>227</v>
      </c>
      <c r="BI8" s="130">
        <v>59.7</v>
      </c>
      <c r="BJ8" s="147" t="e">
        <f t="shared" si="6"/>
        <v>#VALUE!</v>
      </c>
      <c r="BK8" s="139" t="e">
        <f t="shared" si="7"/>
        <v>#VALUE!</v>
      </c>
      <c r="BL8" s="137" t="s">
        <v>227</v>
      </c>
      <c r="BM8" s="130">
        <v>59.6</v>
      </c>
      <c r="BN8" s="147" t="e">
        <f t="shared" si="8"/>
        <v>#VALUE!</v>
      </c>
      <c r="BO8" s="139" t="e">
        <f t="shared" si="9"/>
        <v>#VALUE!</v>
      </c>
      <c r="BP8" s="137" t="s">
        <v>227</v>
      </c>
      <c r="BQ8" s="130">
        <v>165.5</v>
      </c>
      <c r="BR8" s="147" t="e">
        <f t="shared" si="10"/>
        <v>#VALUE!</v>
      </c>
      <c r="BS8" s="139" t="e">
        <f t="shared" si="11"/>
        <v>#VALUE!</v>
      </c>
      <c r="BT8" s="137" t="s">
        <v>227</v>
      </c>
      <c r="BU8" s="130">
        <v>138.80000000000001</v>
      </c>
      <c r="BV8" s="147" t="e">
        <f t="shared" si="12"/>
        <v>#VALUE!</v>
      </c>
      <c r="BW8" s="139" t="e">
        <f t="shared" si="13"/>
        <v>#VALUE!</v>
      </c>
      <c r="BX8" s="137" t="s">
        <v>227</v>
      </c>
      <c r="BY8" s="381">
        <v>99.6</v>
      </c>
      <c r="BZ8" s="176"/>
      <c r="CA8" s="141"/>
      <c r="CB8" s="177"/>
      <c r="CC8" s="178"/>
    </row>
    <row r="9" spans="1:81" ht="14.25" customHeight="1">
      <c r="A9" s="1"/>
      <c r="B9" s="4"/>
      <c r="C9" s="5"/>
      <c r="D9" s="5"/>
      <c r="E9" s="5"/>
      <c r="F9" s="5"/>
      <c r="G9" s="5"/>
      <c r="H9" s="5"/>
      <c r="I9" s="5"/>
      <c r="J9" s="6"/>
      <c r="K9" s="6"/>
      <c r="L9" s="6"/>
      <c r="M9" s="6"/>
      <c r="N9" s="6"/>
      <c r="O9" s="6"/>
      <c r="P9" s="6"/>
      <c r="Q9" s="6"/>
      <c r="R9" s="6"/>
      <c r="S9" s="6"/>
      <c r="T9" s="6"/>
      <c r="U9" s="6"/>
      <c r="V9" s="7"/>
      <c r="X9" s="8"/>
      <c r="Y9" s="8"/>
      <c r="Z9" s="8"/>
      <c r="AA9" s="8"/>
      <c r="AB9" s="8"/>
      <c r="AD9" s="35" t="s">
        <v>46</v>
      </c>
      <c r="AE9" s="35" t="s">
        <v>251</v>
      </c>
      <c r="AF9" s="18"/>
      <c r="AG9" s="35">
        <v>2014</v>
      </c>
      <c r="AH9" s="35">
        <v>2015</v>
      </c>
      <c r="AI9" s="35">
        <v>2016</v>
      </c>
      <c r="AJ9" s="35">
        <v>2017</v>
      </c>
      <c r="AK9" s="35">
        <v>2018</v>
      </c>
      <c r="AL9" s="35">
        <v>2019</v>
      </c>
      <c r="AM9" s="35">
        <v>2020</v>
      </c>
      <c r="AN9" s="33"/>
      <c r="AO9" s="33"/>
      <c r="AP9" s="33"/>
      <c r="AQ9" s="33"/>
      <c r="AS9" s="8"/>
      <c r="AT9" s="380" t="e">
        <f>IF(AND($Z$2&gt;60.5,$Z$2&lt;=63.6),1,0)</f>
        <v>#VALUE!</v>
      </c>
      <c r="AU9" s="139" t="e">
        <f>IF(AND($Y$2&gt;60.5,$Y$2&lt;=63.6),1,0)</f>
        <v>#VALUE!</v>
      </c>
      <c r="AV9" s="137" t="s">
        <v>228</v>
      </c>
      <c r="AW9" s="139" t="s">
        <v>540</v>
      </c>
      <c r="AX9" s="147" t="e">
        <f t="shared" si="0"/>
        <v>#VALUE!</v>
      </c>
      <c r="AY9" s="139" t="e">
        <f t="shared" si="1"/>
        <v>#VALUE!</v>
      </c>
      <c r="AZ9" s="137" t="s">
        <v>228</v>
      </c>
      <c r="BA9" s="130">
        <v>49.4</v>
      </c>
      <c r="BB9" s="147" t="e">
        <f t="shared" si="2"/>
        <v>#VALUE!</v>
      </c>
      <c r="BC9" s="139" t="e">
        <f t="shared" si="3"/>
        <v>#VALUE!</v>
      </c>
      <c r="BD9" s="137" t="s">
        <v>228</v>
      </c>
      <c r="BE9" s="130">
        <v>58.9</v>
      </c>
      <c r="BF9" s="147" t="e">
        <f t="shared" si="4"/>
        <v>#VALUE!</v>
      </c>
      <c r="BG9" s="139" t="e">
        <f t="shared" si="5"/>
        <v>#VALUE!</v>
      </c>
      <c r="BH9" s="137" t="s">
        <v>228</v>
      </c>
      <c r="BI9" s="130">
        <v>56.8</v>
      </c>
      <c r="BJ9" s="147" t="e">
        <f t="shared" si="6"/>
        <v>#VALUE!</v>
      </c>
      <c r="BK9" s="139" t="e">
        <f t="shared" si="7"/>
        <v>#VALUE!</v>
      </c>
      <c r="BL9" s="137" t="s">
        <v>228</v>
      </c>
      <c r="BM9" s="130">
        <v>56.7</v>
      </c>
      <c r="BN9" s="147" t="e">
        <f t="shared" si="8"/>
        <v>#VALUE!</v>
      </c>
      <c r="BO9" s="139" t="e">
        <f t="shared" si="9"/>
        <v>#VALUE!</v>
      </c>
      <c r="BP9" s="137" t="s">
        <v>228</v>
      </c>
      <c r="BQ9" s="130">
        <v>157.30000000000001</v>
      </c>
      <c r="BR9" s="147" t="e">
        <f t="shared" si="10"/>
        <v>#VALUE!</v>
      </c>
      <c r="BS9" s="139" t="e">
        <f t="shared" si="11"/>
        <v>#VALUE!</v>
      </c>
      <c r="BT9" s="137" t="s">
        <v>228</v>
      </c>
      <c r="BU9" s="130">
        <v>131.9</v>
      </c>
      <c r="BV9" s="147" t="e">
        <f t="shared" si="12"/>
        <v>#VALUE!</v>
      </c>
      <c r="BW9" s="139" t="e">
        <f t="shared" si="13"/>
        <v>#VALUE!</v>
      </c>
      <c r="BX9" s="137" t="s">
        <v>228</v>
      </c>
      <c r="BY9" s="381">
        <v>94.7</v>
      </c>
      <c r="BZ9" s="176"/>
      <c r="CA9" s="141"/>
      <c r="CB9" s="177"/>
      <c r="CC9" s="178"/>
    </row>
    <row r="10" spans="1:81" ht="26.25" customHeight="1">
      <c r="A10" s="1"/>
      <c r="B10" s="68"/>
      <c r="C10" s="17" t="s">
        <v>541</v>
      </c>
      <c r="D10" s="17"/>
      <c r="E10" s="3"/>
      <c r="F10" s="3"/>
      <c r="G10" s="3"/>
      <c r="H10" s="3"/>
      <c r="I10" s="3"/>
      <c r="J10" s="2"/>
      <c r="K10" s="2"/>
      <c r="L10" s="2"/>
      <c r="M10" s="2"/>
      <c r="N10" s="2"/>
      <c r="O10" s="2"/>
      <c r="P10" s="2"/>
      <c r="Q10" s="2"/>
      <c r="R10" s="2"/>
      <c r="S10" s="2"/>
      <c r="T10" s="2"/>
      <c r="U10" s="106" t="s">
        <v>165</v>
      </c>
      <c r="V10" s="69"/>
      <c r="X10" s="10" t="s">
        <v>241</v>
      </c>
      <c r="Y10" s="8"/>
      <c r="Z10" s="99"/>
      <c r="AA10" s="8"/>
      <c r="AB10" s="18"/>
      <c r="AF10" s="18"/>
      <c r="AS10" s="8"/>
      <c r="AT10" s="380" t="e">
        <f>IF(AND($Z$2&gt;57.3,$Z$2&lt;=60.5),1,0)</f>
        <v>#VALUE!</v>
      </c>
      <c r="AU10" s="139" t="e">
        <f>IF(AND($Y$2&gt;57.3,$Y$2&lt;=60.5),1,0)</f>
        <v>#VALUE!</v>
      </c>
      <c r="AV10" s="130" t="s">
        <v>284</v>
      </c>
      <c r="AW10" s="139">
        <v>57.3</v>
      </c>
      <c r="AX10" s="147" t="e">
        <f t="shared" si="0"/>
        <v>#VALUE!</v>
      </c>
      <c r="AY10" s="139" t="e">
        <f t="shared" si="1"/>
        <v>#VALUE!</v>
      </c>
      <c r="AZ10" s="130" t="s">
        <v>284</v>
      </c>
      <c r="BA10" s="130">
        <v>46.8</v>
      </c>
      <c r="BB10" s="147" t="e">
        <f t="shared" si="2"/>
        <v>#VALUE!</v>
      </c>
      <c r="BC10" s="139" t="e">
        <f t="shared" si="3"/>
        <v>#VALUE!</v>
      </c>
      <c r="BD10" s="130" t="s">
        <v>284</v>
      </c>
      <c r="BE10" s="130">
        <v>55.8</v>
      </c>
      <c r="BF10" s="147" t="e">
        <f t="shared" si="4"/>
        <v>#VALUE!</v>
      </c>
      <c r="BG10" s="139" t="e">
        <f t="shared" si="5"/>
        <v>#VALUE!</v>
      </c>
      <c r="BH10" s="130" t="s">
        <v>284</v>
      </c>
      <c r="BI10" s="130">
        <v>53.8</v>
      </c>
      <c r="BJ10" s="147" t="e">
        <f t="shared" si="6"/>
        <v>#VALUE!</v>
      </c>
      <c r="BK10" s="139" t="e">
        <f t="shared" si="7"/>
        <v>#VALUE!</v>
      </c>
      <c r="BL10" s="130" t="s">
        <v>284</v>
      </c>
      <c r="BM10" s="130">
        <v>53.7</v>
      </c>
      <c r="BN10" s="147" t="e">
        <f t="shared" si="8"/>
        <v>#VALUE!</v>
      </c>
      <c r="BO10" s="139" t="e">
        <f t="shared" si="9"/>
        <v>#VALUE!</v>
      </c>
      <c r="BP10" s="130" t="s">
        <v>284</v>
      </c>
      <c r="BQ10" s="130">
        <v>149</v>
      </c>
      <c r="BR10" s="147" t="e">
        <f t="shared" si="10"/>
        <v>#VALUE!</v>
      </c>
      <c r="BS10" s="139" t="e">
        <f t="shared" si="11"/>
        <v>#VALUE!</v>
      </c>
      <c r="BT10" s="130" t="s">
        <v>284</v>
      </c>
      <c r="BU10" s="130">
        <v>125</v>
      </c>
      <c r="BV10" s="147" t="e">
        <f t="shared" si="12"/>
        <v>#VALUE!</v>
      </c>
      <c r="BW10" s="139" t="e">
        <f t="shared" si="13"/>
        <v>#VALUE!</v>
      </c>
      <c r="BX10" s="130" t="s">
        <v>284</v>
      </c>
      <c r="BY10" s="381">
        <v>89.7</v>
      </c>
      <c r="BZ10" s="176"/>
      <c r="CA10" s="141"/>
      <c r="CB10" s="363"/>
      <c r="CC10" s="131"/>
    </row>
    <row r="11" spans="1:81" ht="10.5" customHeight="1" thickBot="1">
      <c r="A11" s="1"/>
      <c r="B11" s="1"/>
      <c r="C11" s="8"/>
      <c r="D11" s="8"/>
      <c r="E11" s="358"/>
      <c r="F11" s="358"/>
      <c r="G11" s="808"/>
      <c r="H11" s="808"/>
      <c r="I11" s="12"/>
      <c r="J11" s="12"/>
      <c r="K11" s="12"/>
      <c r="L11" s="12"/>
      <c r="M11" s="12"/>
      <c r="N11" s="12"/>
      <c r="O11" s="12"/>
      <c r="P11" s="12"/>
      <c r="Q11" s="12"/>
      <c r="R11" s="12"/>
      <c r="S11" s="12"/>
      <c r="T11" s="12"/>
      <c r="U11" s="12"/>
      <c r="V11" s="9"/>
      <c r="X11" s="8"/>
      <c r="Y11" s="8"/>
      <c r="Z11" s="8"/>
      <c r="AA11" s="8"/>
      <c r="AB11" s="51"/>
      <c r="AF11" s="18"/>
      <c r="AS11" s="8"/>
      <c r="AT11" s="380" t="e">
        <f>IF(AND($Z$2&gt;54.1,$Z$2&lt;=57.3),1,0)</f>
        <v>#VALUE!</v>
      </c>
      <c r="AU11" s="139" t="e">
        <f>IF(AND($Y$2&gt;54.1,$Y$2&lt;=57.3),1,0)</f>
        <v>#VALUE!</v>
      </c>
      <c r="AV11" s="137" t="s">
        <v>229</v>
      </c>
      <c r="AW11" s="139" t="s">
        <v>542</v>
      </c>
      <c r="AX11" s="147" t="e">
        <f t="shared" si="0"/>
        <v>#VALUE!</v>
      </c>
      <c r="AY11" s="139" t="e">
        <f t="shared" si="1"/>
        <v>#VALUE!</v>
      </c>
      <c r="AZ11" s="137" t="s">
        <v>229</v>
      </c>
      <c r="BA11" s="130">
        <v>44.2</v>
      </c>
      <c r="BB11" s="147" t="e">
        <f t="shared" si="2"/>
        <v>#VALUE!</v>
      </c>
      <c r="BC11" s="139" t="e">
        <f t="shared" si="3"/>
        <v>#VALUE!</v>
      </c>
      <c r="BD11" s="137" t="s">
        <v>229</v>
      </c>
      <c r="BE11" s="130">
        <v>52.7</v>
      </c>
      <c r="BF11" s="147" t="e">
        <f t="shared" si="4"/>
        <v>#VALUE!</v>
      </c>
      <c r="BG11" s="139" t="e">
        <f t="shared" si="5"/>
        <v>#VALUE!</v>
      </c>
      <c r="BH11" s="137" t="s">
        <v>229</v>
      </c>
      <c r="BI11" s="130">
        <v>50.8</v>
      </c>
      <c r="BJ11" s="147" t="e">
        <f t="shared" si="6"/>
        <v>#VALUE!</v>
      </c>
      <c r="BK11" s="139" t="e">
        <f t="shared" si="7"/>
        <v>#VALUE!</v>
      </c>
      <c r="BL11" s="137" t="s">
        <v>229</v>
      </c>
      <c r="BM11" s="130">
        <v>50.7</v>
      </c>
      <c r="BN11" s="147" t="e">
        <f t="shared" si="8"/>
        <v>#VALUE!</v>
      </c>
      <c r="BO11" s="139" t="e">
        <f t="shared" si="9"/>
        <v>#VALUE!</v>
      </c>
      <c r="BP11" s="137" t="s">
        <v>229</v>
      </c>
      <c r="BQ11" s="130">
        <v>140.69999999999999</v>
      </c>
      <c r="BR11" s="147" t="e">
        <f t="shared" si="10"/>
        <v>#VALUE!</v>
      </c>
      <c r="BS11" s="139" t="e">
        <f t="shared" si="11"/>
        <v>#VALUE!</v>
      </c>
      <c r="BT11" s="137" t="s">
        <v>229</v>
      </c>
      <c r="BU11" s="130">
        <v>118</v>
      </c>
      <c r="BV11" s="147" t="e">
        <f t="shared" si="12"/>
        <v>#VALUE!</v>
      </c>
      <c r="BW11" s="139" t="e">
        <f t="shared" si="13"/>
        <v>#VALUE!</v>
      </c>
      <c r="BX11" s="137" t="s">
        <v>229</v>
      </c>
      <c r="BY11" s="381">
        <v>84.7</v>
      </c>
      <c r="BZ11" s="176"/>
      <c r="CA11" s="141"/>
      <c r="CB11" s="177"/>
      <c r="CC11" s="178"/>
    </row>
    <row r="12" spans="1:81" ht="14.25" customHeight="1">
      <c r="A12" s="1"/>
      <c r="B12" s="1"/>
      <c r="C12" s="10" t="s">
        <v>0</v>
      </c>
      <c r="D12" s="10"/>
      <c r="E12" s="43"/>
      <c r="F12" s="43"/>
      <c r="G12" s="801"/>
      <c r="H12" s="801"/>
      <c r="I12" s="801"/>
      <c r="J12" s="801"/>
      <c r="K12" s="801"/>
      <c r="L12" s="801"/>
      <c r="M12" s="801"/>
      <c r="N12" s="801"/>
      <c r="O12" s="801"/>
      <c r="P12" s="801"/>
      <c r="Q12" s="801"/>
      <c r="R12" s="801"/>
      <c r="S12" s="801"/>
      <c r="T12" s="801"/>
      <c r="U12" s="801"/>
      <c r="V12" s="9"/>
      <c r="X12" s="819"/>
      <c r="Y12" s="797">
        <v>2013</v>
      </c>
      <c r="Z12" s="797"/>
      <c r="AA12" s="797">
        <v>2014</v>
      </c>
      <c r="AB12" s="798"/>
      <c r="AD12" s="239" t="s">
        <v>160</v>
      </c>
      <c r="AE12" s="239" t="s">
        <v>161</v>
      </c>
      <c r="AF12" s="21" t="s">
        <v>162</v>
      </c>
      <c r="AG12" s="21" t="s">
        <v>163</v>
      </c>
      <c r="AH12" s="21" t="s">
        <v>164</v>
      </c>
      <c r="AI12" s="21" t="s">
        <v>45</v>
      </c>
      <c r="AS12" s="8"/>
      <c r="AT12" s="380" t="e">
        <f>IF(AND($Z$2&gt;50.9,$Z$2&lt;=54.1),1,0)</f>
        <v>#VALUE!</v>
      </c>
      <c r="AU12" s="139" t="e">
        <f>IF(AND($Y$2&gt;50.9,$Y$2&lt;=54.1),1,0)</f>
        <v>#VALUE!</v>
      </c>
      <c r="AV12" s="130" t="s">
        <v>288</v>
      </c>
      <c r="AW12" s="139">
        <v>50.9</v>
      </c>
      <c r="AX12" s="147" t="e">
        <f t="shared" si="0"/>
        <v>#VALUE!</v>
      </c>
      <c r="AY12" s="139" t="e">
        <f t="shared" si="1"/>
        <v>#VALUE!</v>
      </c>
      <c r="AZ12" s="130" t="s">
        <v>288</v>
      </c>
      <c r="BA12" s="130">
        <v>41.6</v>
      </c>
      <c r="BB12" s="147" t="e">
        <f t="shared" si="2"/>
        <v>#VALUE!</v>
      </c>
      <c r="BC12" s="139" t="e">
        <f t="shared" si="3"/>
        <v>#VALUE!</v>
      </c>
      <c r="BD12" s="130" t="s">
        <v>288</v>
      </c>
      <c r="BE12" s="130">
        <v>49.6</v>
      </c>
      <c r="BF12" s="147" t="e">
        <f t="shared" si="4"/>
        <v>#VALUE!</v>
      </c>
      <c r="BG12" s="139" t="e">
        <f t="shared" si="5"/>
        <v>#VALUE!</v>
      </c>
      <c r="BH12" s="130" t="s">
        <v>288</v>
      </c>
      <c r="BI12" s="130">
        <v>47.8</v>
      </c>
      <c r="BJ12" s="147" t="e">
        <f t="shared" si="6"/>
        <v>#VALUE!</v>
      </c>
      <c r="BK12" s="139" t="e">
        <f t="shared" si="7"/>
        <v>#VALUE!</v>
      </c>
      <c r="BL12" s="130" t="s">
        <v>288</v>
      </c>
      <c r="BM12" s="130">
        <v>47.7</v>
      </c>
      <c r="BN12" s="147" t="e">
        <f t="shared" si="8"/>
        <v>#VALUE!</v>
      </c>
      <c r="BO12" s="139" t="e">
        <f t="shared" si="9"/>
        <v>#VALUE!</v>
      </c>
      <c r="BP12" s="130" t="s">
        <v>288</v>
      </c>
      <c r="BQ12" s="130">
        <v>132.4</v>
      </c>
      <c r="BR12" s="147" t="e">
        <f t="shared" si="10"/>
        <v>#VALUE!</v>
      </c>
      <c r="BS12" s="139" t="e">
        <f t="shared" si="11"/>
        <v>#VALUE!</v>
      </c>
      <c r="BT12" s="130" t="s">
        <v>288</v>
      </c>
      <c r="BU12" s="130">
        <v>111.1</v>
      </c>
      <c r="BV12" s="147" t="e">
        <f t="shared" si="12"/>
        <v>#VALUE!</v>
      </c>
      <c r="BW12" s="139" t="e">
        <f t="shared" si="13"/>
        <v>#VALUE!</v>
      </c>
      <c r="BX12" s="130" t="s">
        <v>288</v>
      </c>
      <c r="BY12" s="381">
        <v>79.7</v>
      </c>
      <c r="BZ12" s="176"/>
      <c r="CA12" s="141"/>
      <c r="CB12" s="363"/>
      <c r="CC12" s="131"/>
    </row>
    <row r="13" spans="1:81" ht="3.75" customHeight="1">
      <c r="A13" s="1"/>
      <c r="B13" s="1"/>
      <c r="C13" s="8"/>
      <c r="D13" s="8"/>
      <c r="E13" s="358"/>
      <c r="F13" s="358"/>
      <c r="G13" s="801"/>
      <c r="H13" s="801"/>
      <c r="I13" s="801"/>
      <c r="J13" s="801"/>
      <c r="K13" s="801"/>
      <c r="L13" s="801"/>
      <c r="M13" s="801"/>
      <c r="N13" s="801"/>
      <c r="O13" s="801"/>
      <c r="P13" s="801"/>
      <c r="Q13" s="801"/>
      <c r="R13" s="801"/>
      <c r="S13" s="801"/>
      <c r="T13" s="801"/>
      <c r="U13" s="801"/>
      <c r="V13" s="9"/>
      <c r="X13" s="820"/>
      <c r="Y13" s="799"/>
      <c r="Z13" s="799"/>
      <c r="AA13" s="799"/>
      <c r="AB13" s="800"/>
      <c r="AF13" s="18"/>
      <c r="AT13" s="380" t="e">
        <f>IF(AND($Z$2&gt;47.7,$Z$2&lt;=50.9),1,0)</f>
        <v>#VALUE!</v>
      </c>
      <c r="AU13" s="139" t="e">
        <f>IF(AND($Y$2&gt;47.7,$Y$2&lt;=50.9),1,0)</f>
        <v>#VALUE!</v>
      </c>
      <c r="AV13" s="130" t="s">
        <v>230</v>
      </c>
      <c r="AW13" s="139">
        <v>47.7</v>
      </c>
      <c r="AX13" s="147" t="e">
        <f t="shared" si="0"/>
        <v>#VALUE!</v>
      </c>
      <c r="AY13" s="139" t="e">
        <f t="shared" si="1"/>
        <v>#VALUE!</v>
      </c>
      <c r="AZ13" s="130" t="s">
        <v>230</v>
      </c>
      <c r="BA13" s="130">
        <v>39</v>
      </c>
      <c r="BB13" s="147" t="e">
        <f t="shared" si="2"/>
        <v>#VALUE!</v>
      </c>
      <c r="BC13" s="139" t="e">
        <f t="shared" si="3"/>
        <v>#VALUE!</v>
      </c>
      <c r="BD13" s="130" t="s">
        <v>230</v>
      </c>
      <c r="BE13" s="130">
        <v>46.5</v>
      </c>
      <c r="BF13" s="147" t="e">
        <f t="shared" si="4"/>
        <v>#VALUE!</v>
      </c>
      <c r="BG13" s="139" t="e">
        <f t="shared" si="5"/>
        <v>#VALUE!</v>
      </c>
      <c r="BH13" s="130" t="s">
        <v>230</v>
      </c>
      <c r="BI13" s="130">
        <v>44.8</v>
      </c>
      <c r="BJ13" s="147" t="e">
        <f t="shared" si="6"/>
        <v>#VALUE!</v>
      </c>
      <c r="BK13" s="139" t="e">
        <f t="shared" si="7"/>
        <v>#VALUE!</v>
      </c>
      <c r="BL13" s="130" t="s">
        <v>230</v>
      </c>
      <c r="BM13" s="130">
        <v>44.7</v>
      </c>
      <c r="BN13" s="147" t="e">
        <f t="shared" si="8"/>
        <v>#VALUE!</v>
      </c>
      <c r="BO13" s="139" t="e">
        <f t="shared" si="9"/>
        <v>#VALUE!</v>
      </c>
      <c r="BP13" s="130" t="s">
        <v>230</v>
      </c>
      <c r="BQ13" s="130">
        <v>124.2</v>
      </c>
      <c r="BR13" s="147" t="e">
        <f t="shared" si="10"/>
        <v>#VALUE!</v>
      </c>
      <c r="BS13" s="139" t="e">
        <f t="shared" si="11"/>
        <v>#VALUE!</v>
      </c>
      <c r="BT13" s="130" t="s">
        <v>230</v>
      </c>
      <c r="BU13" s="130">
        <v>104.1</v>
      </c>
      <c r="BV13" s="147" t="e">
        <f t="shared" si="12"/>
        <v>#VALUE!</v>
      </c>
      <c r="BW13" s="139" t="e">
        <f t="shared" si="13"/>
        <v>#VALUE!</v>
      </c>
      <c r="BX13" s="130" t="s">
        <v>230</v>
      </c>
      <c r="BY13" s="381">
        <v>74.7</v>
      </c>
      <c r="BZ13" s="176"/>
      <c r="CA13" s="141"/>
      <c r="CB13" s="363"/>
      <c r="CC13" s="131"/>
    </row>
    <row r="14" spans="1:81" ht="14.25" customHeight="1">
      <c r="A14" s="1"/>
      <c r="B14" s="1"/>
      <c r="C14" s="8"/>
      <c r="D14" s="8"/>
      <c r="E14" s="358" t="s">
        <v>543</v>
      </c>
      <c r="F14" s="358"/>
      <c r="G14" s="719"/>
      <c r="H14" s="719"/>
      <c r="I14" s="719"/>
      <c r="J14" s="719"/>
      <c r="K14" s="719"/>
      <c r="L14" s="719"/>
      <c r="M14" s="719"/>
      <c r="N14" s="719"/>
      <c r="O14" s="719"/>
      <c r="P14" s="719"/>
      <c r="Q14" s="719"/>
      <c r="R14" s="719"/>
      <c r="S14" s="719"/>
      <c r="T14" s="719"/>
      <c r="U14" s="719"/>
      <c r="V14" s="9"/>
      <c r="X14" s="148"/>
      <c r="Y14" s="219" t="s">
        <v>239</v>
      </c>
      <c r="Z14" s="219" t="s">
        <v>240</v>
      </c>
      <c r="AA14" s="219" t="s">
        <v>239</v>
      </c>
      <c r="AB14" s="220" t="s">
        <v>240</v>
      </c>
      <c r="AF14" s="18"/>
      <c r="AS14" s="132"/>
      <c r="AT14" s="380" t="e">
        <f>IF(AND($Z$2&gt;44.6,$Z$2&lt;=47.7),1,0)</f>
        <v>#VALUE!</v>
      </c>
      <c r="AU14" s="139" t="e">
        <f>IF(AND($Y$2&gt;44.6,$Y$2&lt;=47.7),1,0)</f>
        <v>#VALUE!</v>
      </c>
      <c r="AV14" s="130" t="s">
        <v>292</v>
      </c>
      <c r="AW14" s="139">
        <v>44.6</v>
      </c>
      <c r="AX14" s="147" t="e">
        <f t="shared" si="0"/>
        <v>#VALUE!</v>
      </c>
      <c r="AY14" s="139" t="e">
        <f t="shared" si="1"/>
        <v>#VALUE!</v>
      </c>
      <c r="AZ14" s="130" t="s">
        <v>292</v>
      </c>
      <c r="BA14" s="139">
        <v>36.4</v>
      </c>
      <c r="BB14" s="147" t="e">
        <f t="shared" si="2"/>
        <v>#VALUE!</v>
      </c>
      <c r="BC14" s="139" t="e">
        <f t="shared" si="3"/>
        <v>#VALUE!</v>
      </c>
      <c r="BD14" s="130" t="s">
        <v>292</v>
      </c>
      <c r="BE14" s="139">
        <v>43.4</v>
      </c>
      <c r="BF14" s="147" t="e">
        <f t="shared" si="4"/>
        <v>#VALUE!</v>
      </c>
      <c r="BG14" s="139" t="e">
        <f t="shared" si="5"/>
        <v>#VALUE!</v>
      </c>
      <c r="BH14" s="130" t="s">
        <v>292</v>
      </c>
      <c r="BI14" s="139">
        <v>41.8</v>
      </c>
      <c r="BJ14" s="147" t="e">
        <f t="shared" si="6"/>
        <v>#VALUE!</v>
      </c>
      <c r="BK14" s="139" t="e">
        <f t="shared" si="7"/>
        <v>#VALUE!</v>
      </c>
      <c r="BL14" s="130" t="s">
        <v>292</v>
      </c>
      <c r="BM14" s="139">
        <v>41.8</v>
      </c>
      <c r="BN14" s="147" t="e">
        <f t="shared" si="8"/>
        <v>#VALUE!</v>
      </c>
      <c r="BO14" s="139" t="e">
        <f t="shared" si="9"/>
        <v>#VALUE!</v>
      </c>
      <c r="BP14" s="130" t="s">
        <v>292</v>
      </c>
      <c r="BQ14" s="139">
        <v>115.9</v>
      </c>
      <c r="BR14" s="147" t="e">
        <f t="shared" si="10"/>
        <v>#VALUE!</v>
      </c>
      <c r="BS14" s="139" t="e">
        <f t="shared" si="11"/>
        <v>#VALUE!</v>
      </c>
      <c r="BT14" s="130" t="s">
        <v>292</v>
      </c>
      <c r="BU14" s="139">
        <v>97.2</v>
      </c>
      <c r="BV14" s="147" t="e">
        <f t="shared" si="12"/>
        <v>#VALUE!</v>
      </c>
      <c r="BW14" s="139" t="e">
        <f t="shared" si="13"/>
        <v>#VALUE!</v>
      </c>
      <c r="BX14" s="130" t="s">
        <v>292</v>
      </c>
      <c r="BY14" s="384">
        <v>69.8</v>
      </c>
      <c r="BZ14" s="176"/>
      <c r="CA14" s="141"/>
      <c r="CB14" s="363"/>
      <c r="CC14" s="131"/>
    </row>
    <row r="15" spans="1:81" ht="14.25" customHeight="1">
      <c r="A15" s="1"/>
      <c r="B15" s="1"/>
      <c r="C15" s="8"/>
      <c r="D15" s="8"/>
      <c r="E15" s="809" t="s">
        <v>1</v>
      </c>
      <c r="F15" s="809"/>
      <c r="G15" s="810"/>
      <c r="H15" s="811"/>
      <c r="I15" s="811"/>
      <c r="J15" s="812"/>
      <c r="K15" s="385"/>
      <c r="L15" s="33"/>
      <c r="M15" s="813" t="s">
        <v>2</v>
      </c>
      <c r="N15" s="814"/>
      <c r="O15" s="815" t="str">
        <f>IF(G15="","",IF(COUNTIF(X22:Y55,AD16)=0,"",VLOOKUP(AD16,X22:Y55,2,FALSE)))</f>
        <v/>
      </c>
      <c r="P15" s="815"/>
      <c r="Q15" s="33" t="s">
        <v>149</v>
      </c>
      <c r="R15" s="33"/>
      <c r="S15" s="33"/>
      <c r="T15" s="33"/>
      <c r="U15" s="33"/>
      <c r="V15" s="9"/>
      <c r="X15" s="149" t="s">
        <v>215</v>
      </c>
      <c r="Y15" s="239">
        <f>'[2]2_エネルギー使用量 (電気)'!Z12</f>
        <v>0</v>
      </c>
      <c r="Z15" s="152">
        <f>IF('[2]2_エネルギー使用量 (電気)'!AA12&gt;0,'[2]2_エネルギー使用量 (電気)'!AA12,0)</f>
        <v>0</v>
      </c>
      <c r="AA15" s="154">
        <f>'[2]2_エネルギー使用量 (電気)'!Z13</f>
        <v>0</v>
      </c>
      <c r="AB15" s="155">
        <f>'[2]2_エネルギー使用量 (電気)'!AA13</f>
        <v>0</v>
      </c>
      <c r="AE15" t="s">
        <v>92</v>
      </c>
      <c r="AF15" s="18"/>
      <c r="AS15" s="8"/>
      <c r="AT15" s="380" t="e">
        <f>IF(AND($Z$2&gt;41.4,$Z$2&lt;=44.6),1,0)</f>
        <v>#VALUE!</v>
      </c>
      <c r="AU15" s="139" t="e">
        <f>IF(AND($Y$2&gt;41.4,$Y$2&lt;=44.6),1,0)</f>
        <v>#VALUE!</v>
      </c>
      <c r="AV15" s="137" t="s">
        <v>231</v>
      </c>
      <c r="AW15" s="139" t="s">
        <v>544</v>
      </c>
      <c r="AX15" s="147" t="e">
        <f t="shared" si="0"/>
        <v>#VALUE!</v>
      </c>
      <c r="AY15" s="139" t="e">
        <f t="shared" si="1"/>
        <v>#VALUE!</v>
      </c>
      <c r="AZ15" s="137" t="s">
        <v>231</v>
      </c>
      <c r="BA15" s="130">
        <v>33.799999999999997</v>
      </c>
      <c r="BB15" s="147" t="e">
        <f t="shared" si="2"/>
        <v>#VALUE!</v>
      </c>
      <c r="BC15" s="139" t="e">
        <f t="shared" si="3"/>
        <v>#VALUE!</v>
      </c>
      <c r="BD15" s="137" t="s">
        <v>231</v>
      </c>
      <c r="BE15" s="130">
        <v>40.299999999999997</v>
      </c>
      <c r="BF15" s="147" t="e">
        <f t="shared" si="4"/>
        <v>#VALUE!</v>
      </c>
      <c r="BG15" s="139" t="e">
        <f t="shared" si="5"/>
        <v>#VALUE!</v>
      </c>
      <c r="BH15" s="137" t="s">
        <v>231</v>
      </c>
      <c r="BI15" s="130">
        <v>38.9</v>
      </c>
      <c r="BJ15" s="147" t="e">
        <f t="shared" si="6"/>
        <v>#VALUE!</v>
      </c>
      <c r="BK15" s="139" t="e">
        <f t="shared" si="7"/>
        <v>#VALUE!</v>
      </c>
      <c r="BL15" s="137" t="s">
        <v>231</v>
      </c>
      <c r="BM15" s="130">
        <v>38.799999999999997</v>
      </c>
      <c r="BN15" s="147" t="e">
        <f t="shared" si="8"/>
        <v>#VALUE!</v>
      </c>
      <c r="BO15" s="139" t="e">
        <f t="shared" si="9"/>
        <v>#VALUE!</v>
      </c>
      <c r="BP15" s="137" t="s">
        <v>231</v>
      </c>
      <c r="BQ15" s="130">
        <v>107.6</v>
      </c>
      <c r="BR15" s="147" t="e">
        <f t="shared" si="10"/>
        <v>#VALUE!</v>
      </c>
      <c r="BS15" s="139" t="e">
        <f t="shared" si="11"/>
        <v>#VALUE!</v>
      </c>
      <c r="BT15" s="137" t="s">
        <v>231</v>
      </c>
      <c r="BU15" s="130">
        <v>90.3</v>
      </c>
      <c r="BV15" s="147" t="e">
        <f t="shared" si="12"/>
        <v>#VALUE!</v>
      </c>
      <c r="BW15" s="139" t="e">
        <f t="shared" si="13"/>
        <v>#VALUE!</v>
      </c>
      <c r="BX15" s="137" t="s">
        <v>231</v>
      </c>
      <c r="BY15" s="381">
        <v>64.8</v>
      </c>
      <c r="BZ15" s="176"/>
      <c r="CA15" s="141"/>
      <c r="CB15" s="177"/>
      <c r="CC15" s="178"/>
    </row>
    <row r="16" spans="1:81" ht="14.25" customHeight="1">
      <c r="A16" s="1"/>
      <c r="B16" s="1"/>
      <c r="C16" s="8"/>
      <c r="D16" s="8"/>
      <c r="E16" s="359" t="s">
        <v>545</v>
      </c>
      <c r="F16" s="42"/>
      <c r="G16" s="816"/>
      <c r="H16" s="817"/>
      <c r="I16" s="34"/>
      <c r="J16" s="34"/>
      <c r="K16" s="34"/>
      <c r="L16" s="34"/>
      <c r="M16" s="34"/>
      <c r="N16" s="49"/>
      <c r="O16" s="818"/>
      <c r="P16" s="818"/>
      <c r="Q16" s="34"/>
      <c r="R16" s="33"/>
      <c r="S16" s="33"/>
      <c r="T16" s="33"/>
      <c r="U16" s="33"/>
      <c r="V16" s="9"/>
      <c r="X16" s="149" t="s">
        <v>236</v>
      </c>
      <c r="Y16" s="238">
        <f>'[2]3_エネルギー使用量 (都市ガス) '!Y14</f>
        <v>0</v>
      </c>
      <c r="Z16" s="152">
        <f>IF('[2]3_エネルギー使用量 (都市ガス) '!Z14&gt;0,'[2]3_エネルギー使用量 (都市ガス) '!Z14,0)</f>
        <v>0</v>
      </c>
      <c r="AA16" s="154">
        <f>'[2]3_エネルギー使用量 (都市ガス) '!Y15</f>
        <v>0</v>
      </c>
      <c r="AB16" s="155">
        <f>'[2]3_エネルギー使用量 (都市ガス) '!Z15</f>
        <v>0</v>
      </c>
      <c r="AD16" s="239">
        <f>IF(I15="",G15,I15)</f>
        <v>0</v>
      </c>
      <c r="AE16" s="239" t="e">
        <f>VLOOKUP(AD16,X22:Z55,3,FALSE)</f>
        <v>#N/A</v>
      </c>
      <c r="AF16" s="18"/>
      <c r="AG16" s="239" t="s">
        <v>2</v>
      </c>
      <c r="AH16" s="122" t="str">
        <f>O15</f>
        <v/>
      </c>
      <c r="AS16" s="8"/>
      <c r="AT16" s="380" t="e">
        <f>IF(AND($Z$2&gt;38.2,$Z$2&lt;=41.4),1,0)</f>
        <v>#VALUE!</v>
      </c>
      <c r="AU16" s="139" t="e">
        <f>IF(AND($Y$2&gt;38.2,$Y$2&lt;=41.4),1,0)</f>
        <v>#VALUE!</v>
      </c>
      <c r="AV16" s="130" t="s">
        <v>232</v>
      </c>
      <c r="AW16" s="139">
        <v>38.200000000000003</v>
      </c>
      <c r="AX16" s="147" t="e">
        <f t="shared" si="0"/>
        <v>#VALUE!</v>
      </c>
      <c r="AY16" s="139" t="e">
        <f t="shared" si="1"/>
        <v>#VALUE!</v>
      </c>
      <c r="AZ16" s="130" t="s">
        <v>232</v>
      </c>
      <c r="BA16" s="386">
        <v>31.2</v>
      </c>
      <c r="BB16" s="147" t="e">
        <f t="shared" si="2"/>
        <v>#VALUE!</v>
      </c>
      <c r="BC16" s="139" t="e">
        <f t="shared" si="3"/>
        <v>#VALUE!</v>
      </c>
      <c r="BD16" s="130" t="s">
        <v>232</v>
      </c>
      <c r="BE16" s="386">
        <v>37.200000000000003</v>
      </c>
      <c r="BF16" s="147" t="e">
        <f t="shared" si="4"/>
        <v>#VALUE!</v>
      </c>
      <c r="BG16" s="139" t="e">
        <f t="shared" si="5"/>
        <v>#VALUE!</v>
      </c>
      <c r="BH16" s="130" t="s">
        <v>232</v>
      </c>
      <c r="BI16" s="386">
        <v>35.9</v>
      </c>
      <c r="BJ16" s="147" t="e">
        <f t="shared" si="6"/>
        <v>#VALUE!</v>
      </c>
      <c r="BK16" s="139" t="e">
        <f t="shared" si="7"/>
        <v>#VALUE!</v>
      </c>
      <c r="BL16" s="130" t="s">
        <v>232</v>
      </c>
      <c r="BM16" s="386">
        <v>35.799999999999997</v>
      </c>
      <c r="BN16" s="147" t="e">
        <f t="shared" si="8"/>
        <v>#VALUE!</v>
      </c>
      <c r="BO16" s="139" t="e">
        <f t="shared" si="9"/>
        <v>#VALUE!</v>
      </c>
      <c r="BP16" s="130" t="s">
        <v>232</v>
      </c>
      <c r="BQ16" s="386">
        <v>99.3</v>
      </c>
      <c r="BR16" s="147" t="e">
        <f t="shared" si="10"/>
        <v>#VALUE!</v>
      </c>
      <c r="BS16" s="139" t="e">
        <f t="shared" si="11"/>
        <v>#VALUE!</v>
      </c>
      <c r="BT16" s="130" t="s">
        <v>232</v>
      </c>
      <c r="BU16" s="386">
        <v>83.3</v>
      </c>
      <c r="BV16" s="147" t="e">
        <f t="shared" si="12"/>
        <v>#VALUE!</v>
      </c>
      <c r="BW16" s="139" t="e">
        <f t="shared" si="13"/>
        <v>#VALUE!</v>
      </c>
      <c r="BX16" s="130" t="s">
        <v>232</v>
      </c>
      <c r="BY16" s="387">
        <v>59.8</v>
      </c>
      <c r="BZ16" s="176"/>
      <c r="CA16" s="141"/>
      <c r="CB16" s="363"/>
      <c r="CC16" s="131"/>
    </row>
    <row r="17" spans="1:81" ht="14.25" customHeight="1">
      <c r="A17" s="1"/>
      <c r="B17" s="1"/>
      <c r="C17" s="8"/>
      <c r="D17" s="8"/>
      <c r="E17" s="826" t="s">
        <v>87</v>
      </c>
      <c r="F17" s="826"/>
      <c r="G17" s="827"/>
      <c r="H17" s="828"/>
      <c r="I17" s="34" t="s">
        <v>88</v>
      </c>
      <c r="J17" s="34"/>
      <c r="K17" s="34"/>
      <c r="L17" s="34"/>
      <c r="M17" s="34"/>
      <c r="N17" s="34"/>
      <c r="O17" s="33"/>
      <c r="P17" s="33"/>
      <c r="Q17" s="33"/>
      <c r="R17" s="33"/>
      <c r="S17" s="33"/>
      <c r="T17" s="33"/>
      <c r="U17" s="33"/>
      <c r="V17" s="9"/>
      <c r="X17" s="150" t="s">
        <v>45</v>
      </c>
      <c r="Y17" s="238">
        <f>'[2]4_エネルギー使用量 (その他)'!AA12</f>
        <v>0</v>
      </c>
      <c r="Z17" s="152">
        <f>'[2]4_エネルギー使用量 (その他)'!AB12</f>
        <v>0</v>
      </c>
      <c r="AA17" s="154">
        <f>'[2]4_エネルギー使用量 (その他)'!AA13</f>
        <v>0</v>
      </c>
      <c r="AB17" s="155">
        <f>'[2]4_エネルギー使用量 (その他)'!AB13</f>
        <v>0</v>
      </c>
      <c r="AF17" s="18"/>
      <c r="AS17" s="8"/>
      <c r="AT17" s="380" t="e">
        <f>IF(AND($Z$2&gt;35,$Z$2&lt;=38.2),1,0)</f>
        <v>#VALUE!</v>
      </c>
      <c r="AU17" s="139" t="e">
        <f>IF(AND($Y$2&gt;35,$Y$2&lt;=38.2),1,0)</f>
        <v>#VALUE!</v>
      </c>
      <c r="AV17" s="137" t="s">
        <v>233</v>
      </c>
      <c r="AW17" s="139" t="s">
        <v>546</v>
      </c>
      <c r="AX17" s="147" t="e">
        <f t="shared" si="0"/>
        <v>#VALUE!</v>
      </c>
      <c r="AY17" s="139" t="e">
        <f t="shared" si="1"/>
        <v>#VALUE!</v>
      </c>
      <c r="AZ17" s="137" t="s">
        <v>233</v>
      </c>
      <c r="BA17" s="130">
        <v>28.6</v>
      </c>
      <c r="BB17" s="147" t="e">
        <f t="shared" si="2"/>
        <v>#VALUE!</v>
      </c>
      <c r="BC17" s="139" t="e">
        <f t="shared" si="3"/>
        <v>#VALUE!</v>
      </c>
      <c r="BD17" s="137" t="s">
        <v>233</v>
      </c>
      <c r="BE17" s="130">
        <v>34.1</v>
      </c>
      <c r="BF17" s="147" t="e">
        <f t="shared" si="4"/>
        <v>#VALUE!</v>
      </c>
      <c r="BG17" s="139" t="e">
        <f t="shared" si="5"/>
        <v>#VALUE!</v>
      </c>
      <c r="BH17" s="137" t="s">
        <v>233</v>
      </c>
      <c r="BI17" s="130">
        <v>32.9</v>
      </c>
      <c r="BJ17" s="147" t="e">
        <f t="shared" si="6"/>
        <v>#VALUE!</v>
      </c>
      <c r="BK17" s="139" t="e">
        <f t="shared" si="7"/>
        <v>#VALUE!</v>
      </c>
      <c r="BL17" s="137" t="s">
        <v>233</v>
      </c>
      <c r="BM17" s="130">
        <v>32.799999999999997</v>
      </c>
      <c r="BN17" s="147" t="e">
        <f t="shared" si="8"/>
        <v>#VALUE!</v>
      </c>
      <c r="BO17" s="139" t="e">
        <f t="shared" si="9"/>
        <v>#VALUE!</v>
      </c>
      <c r="BP17" s="137" t="s">
        <v>233</v>
      </c>
      <c r="BQ17" s="130">
        <v>91.1</v>
      </c>
      <c r="BR17" s="147" t="e">
        <f t="shared" si="10"/>
        <v>#VALUE!</v>
      </c>
      <c r="BS17" s="139" t="e">
        <f t="shared" si="11"/>
        <v>#VALUE!</v>
      </c>
      <c r="BT17" s="137" t="s">
        <v>233</v>
      </c>
      <c r="BU17" s="130">
        <v>76.400000000000006</v>
      </c>
      <c r="BV17" s="147" t="e">
        <f t="shared" si="12"/>
        <v>#VALUE!</v>
      </c>
      <c r="BW17" s="139" t="e">
        <f t="shared" si="13"/>
        <v>#VALUE!</v>
      </c>
      <c r="BX17" s="137" t="s">
        <v>233</v>
      </c>
      <c r="BY17" s="381">
        <v>54.8</v>
      </c>
      <c r="BZ17" s="176"/>
      <c r="CA17" s="141"/>
      <c r="CB17" s="177"/>
      <c r="CC17" s="178"/>
    </row>
    <row r="18" spans="1:81" ht="14.25" customHeight="1" thickBot="1">
      <c r="A18" s="1"/>
      <c r="B18" s="1"/>
      <c r="C18" s="8"/>
      <c r="D18" s="8"/>
      <c r="E18" s="359" t="s">
        <v>547</v>
      </c>
      <c r="F18" s="359"/>
      <c r="G18" s="829"/>
      <c r="H18" s="830"/>
      <c r="I18" s="34"/>
      <c r="J18" s="34"/>
      <c r="K18" s="818" t="s">
        <v>159</v>
      </c>
      <c r="L18" s="818"/>
      <c r="M18" s="818"/>
      <c r="N18" s="818"/>
      <c r="O18" s="831"/>
      <c r="P18" s="831"/>
      <c r="Q18" s="831"/>
      <c r="R18" s="357"/>
      <c r="S18" s="33"/>
      <c r="T18" s="33"/>
      <c r="U18" s="33"/>
      <c r="V18" s="9"/>
      <c r="X18" s="150" t="s">
        <v>237</v>
      </c>
      <c r="Y18" s="238">
        <f>'[2]5_未計測テナント除外'!L14</f>
        <v>0</v>
      </c>
      <c r="Z18" s="152">
        <f>'[2]5_未計測テナント除外'!M14</f>
        <v>0</v>
      </c>
      <c r="AA18" s="154">
        <f>'[2]5_未計測テナント除外'!L15</f>
        <v>0</v>
      </c>
      <c r="AB18" s="155">
        <f>'[2]5_未計測テナント除外'!M15</f>
        <v>0</v>
      </c>
      <c r="AD18" s="35" t="s">
        <v>1</v>
      </c>
      <c r="AE18" s="35">
        <f>G15</f>
        <v>0</v>
      </c>
      <c r="AF18" s="18"/>
      <c r="AS18" s="8"/>
      <c r="AT18" s="388" t="e">
        <f>IF($Z$2="",0,IF($Z$2&lt;=35,1,0))</f>
        <v>#VALUE!</v>
      </c>
      <c r="AU18" s="174" t="e">
        <f>IF($Y$2="",0,IF($Y$2&lt;=35,1,0))</f>
        <v>#VALUE!</v>
      </c>
      <c r="AV18" s="175" t="s">
        <v>234</v>
      </c>
      <c r="AW18" s="389" t="s">
        <v>546</v>
      </c>
      <c r="AX18" s="214" t="e">
        <f>IF($Z$2="",0,IF($Z$2&lt;=BA18,1,0))</f>
        <v>#VALUE!</v>
      </c>
      <c r="AY18" s="174" t="e">
        <f>IF($Y$2="",0,IF($Y$2&lt;=BA18,1,0))</f>
        <v>#VALUE!</v>
      </c>
      <c r="AZ18" s="175" t="s">
        <v>234</v>
      </c>
      <c r="BA18" s="174">
        <v>28.6</v>
      </c>
      <c r="BB18" s="214" t="e">
        <f>IF($Z$2="",0,IF($Z$2&lt;=BE18,1,0))</f>
        <v>#VALUE!</v>
      </c>
      <c r="BC18" s="174" t="e">
        <f>IF($Y$2="",0,IF($Y$2&lt;=BE18,1,0))</f>
        <v>#VALUE!</v>
      </c>
      <c r="BD18" s="175" t="s">
        <v>234</v>
      </c>
      <c r="BE18" s="174">
        <v>34.1</v>
      </c>
      <c r="BF18" s="214" t="e">
        <f>IF($Z$2="",0,IF($Z$2&lt;=BI18,1,0))</f>
        <v>#VALUE!</v>
      </c>
      <c r="BG18" s="174" t="e">
        <f>IF($Y$2="",0,IF($Y$2&lt;=BI18,1,0))</f>
        <v>#VALUE!</v>
      </c>
      <c r="BH18" s="175" t="s">
        <v>234</v>
      </c>
      <c r="BI18" s="174">
        <v>32.9</v>
      </c>
      <c r="BJ18" s="214" t="e">
        <f>IF($Z$2="",0,IF($Z$2&lt;=BM18,1,0))</f>
        <v>#VALUE!</v>
      </c>
      <c r="BK18" s="174" t="e">
        <f>IF($Y$2="",0,IF($Y$2&lt;=BM18,1,0))</f>
        <v>#VALUE!</v>
      </c>
      <c r="BL18" s="175" t="s">
        <v>234</v>
      </c>
      <c r="BM18" s="174">
        <v>32.799999999999997</v>
      </c>
      <c r="BN18" s="214" t="e">
        <f>IF($Z$2="",0,IF($Z$2&lt;=BQ18,1,0))</f>
        <v>#VALUE!</v>
      </c>
      <c r="BO18" s="174" t="e">
        <f>IF($Y$2="",0,IF($Y$2&lt;=BQ18,1,0))</f>
        <v>#VALUE!</v>
      </c>
      <c r="BP18" s="175" t="s">
        <v>234</v>
      </c>
      <c r="BQ18" s="174">
        <v>91.1</v>
      </c>
      <c r="BR18" s="214" t="e">
        <f>IF($Z$2="",0,IF($Z$2&lt;=BU18,1,0))</f>
        <v>#VALUE!</v>
      </c>
      <c r="BS18" s="174" t="e">
        <f>IF($Y$2="",0,IF($Y$2&lt;=BU18,1,0))</f>
        <v>#VALUE!</v>
      </c>
      <c r="BT18" s="175" t="s">
        <v>234</v>
      </c>
      <c r="BU18" s="174">
        <v>76.400000000000006</v>
      </c>
      <c r="BV18" s="214" t="e">
        <f>IF($Z$2="",0,IF($Z$2&lt;=BY18,1,0))</f>
        <v>#VALUE!</v>
      </c>
      <c r="BW18" s="174" t="e">
        <f>IF($Y$2="",0,IF($Y$2&lt;=BY18,1,0))</f>
        <v>#VALUE!</v>
      </c>
      <c r="BX18" s="175" t="s">
        <v>234</v>
      </c>
      <c r="BY18" s="390">
        <v>54.8</v>
      </c>
      <c r="BZ18" s="8"/>
      <c r="CA18" s="8"/>
      <c r="CB18" s="132"/>
      <c r="CC18" s="181"/>
    </row>
    <row r="19" spans="1:81" ht="14.25" customHeight="1" thickBot="1">
      <c r="A19" s="1"/>
      <c r="B19" s="1"/>
      <c r="C19" s="8"/>
      <c r="D19" s="8"/>
      <c r="E19" s="359"/>
      <c r="F19" s="50"/>
      <c r="G19" s="832"/>
      <c r="H19" s="832"/>
      <c r="I19" s="357"/>
      <c r="J19" s="34"/>
      <c r="K19" s="818"/>
      <c r="L19" s="818"/>
      <c r="M19" s="818"/>
      <c r="N19" s="818"/>
      <c r="O19" s="359"/>
      <c r="P19" s="356"/>
      <c r="Q19" s="356"/>
      <c r="R19" s="356"/>
      <c r="S19" s="356"/>
      <c r="T19" s="356"/>
      <c r="U19" s="33"/>
      <c r="V19" s="9"/>
      <c r="X19" s="150" t="s">
        <v>238</v>
      </c>
      <c r="Y19" s="239">
        <f>'[2]6_テナント入居率'!AB11</f>
        <v>0</v>
      </c>
      <c r="Z19" s="152">
        <f>'[2]6_テナント入居率'!AJ11</f>
        <v>0</v>
      </c>
      <c r="AA19" s="154">
        <f>'[2]6_テナント入居率'!AC11</f>
        <v>0</v>
      </c>
      <c r="AB19" s="155">
        <f>'[2]6_テナント入居率'!AK11</f>
        <v>0</v>
      </c>
      <c r="AF19" s="18"/>
      <c r="AS19" s="8"/>
      <c r="AT19" s="8"/>
      <c r="BZ19" s="8"/>
      <c r="CA19" s="8"/>
      <c r="CB19" s="8"/>
      <c r="CC19" s="8"/>
    </row>
    <row r="20" spans="1:81" s="56" customFormat="1" ht="14.25" customHeight="1" thickBot="1">
      <c r="A20" s="52"/>
      <c r="B20" s="52"/>
      <c r="C20" s="53" t="s">
        <v>156</v>
      </c>
      <c r="D20" s="53"/>
      <c r="E20" s="54"/>
      <c r="F20" s="54"/>
      <c r="G20" s="72" t="s">
        <v>158</v>
      </c>
      <c r="H20" s="105"/>
      <c r="I20" s="54"/>
      <c r="J20" s="54"/>
      <c r="K20" s="54"/>
      <c r="L20" s="54"/>
      <c r="M20" s="54"/>
      <c r="N20" s="54"/>
      <c r="O20" s="54"/>
      <c r="P20" s="54"/>
      <c r="Q20" s="54"/>
      <c r="R20" s="54"/>
      <c r="S20" s="54"/>
      <c r="T20" s="54"/>
      <c r="U20" s="54"/>
      <c r="V20" s="55"/>
      <c r="X20" s="151" t="s">
        <v>85</v>
      </c>
      <c r="Y20" s="156">
        <f>Y15+Y16+Y17-Y18+Y19</f>
        <v>0</v>
      </c>
      <c r="Z20" s="153">
        <f>Z15+Z16+Z17-Z18+Z19</f>
        <v>0</v>
      </c>
      <c r="AA20" s="185">
        <f>AA15+AA16+AA17-AA18+AA19</f>
        <v>0</v>
      </c>
      <c r="AB20" s="185">
        <f>AB15+AB16+AB17-AB18+AB19</f>
        <v>0</v>
      </c>
      <c r="AF20" s="57"/>
      <c r="AS20" s="165"/>
      <c r="AT20" s="166" t="s">
        <v>166</v>
      </c>
      <c r="AU20" s="166" t="s">
        <v>167</v>
      </c>
      <c r="AV20" s="166" t="s">
        <v>168</v>
      </c>
      <c r="AW20" s="166" t="s">
        <v>169</v>
      </c>
      <c r="AX20" s="166" t="s">
        <v>170</v>
      </c>
      <c r="AY20" s="166" t="s">
        <v>171</v>
      </c>
      <c r="AZ20" s="166" t="s">
        <v>172</v>
      </c>
      <c r="BA20" s="167" t="s">
        <v>173</v>
      </c>
      <c r="BB20" s="142"/>
      <c r="BC20" s="142"/>
      <c r="BD20" s="142"/>
      <c r="BE20" s="142"/>
      <c r="BF20" s="142"/>
      <c r="BG20" s="142"/>
      <c r="BH20" s="142"/>
      <c r="BI20" s="142"/>
      <c r="BJ20" s="142"/>
      <c r="BK20" s="142"/>
      <c r="BL20" s="142"/>
      <c r="BM20" s="142"/>
      <c r="BN20" s="142"/>
      <c r="BZ20" s="54"/>
      <c r="CA20" s="54"/>
      <c r="CB20" s="54"/>
      <c r="CC20" s="54"/>
    </row>
    <row r="21" spans="1:81" ht="14.25" customHeight="1">
      <c r="A21" s="1"/>
      <c r="B21" s="1"/>
      <c r="C21" s="720" t="s">
        <v>3</v>
      </c>
      <c r="D21" s="720"/>
      <c r="E21" s="720"/>
      <c r="F21" s="720"/>
      <c r="G21" s="821" t="s">
        <v>155</v>
      </c>
      <c r="H21" s="822"/>
      <c r="I21" s="822"/>
      <c r="J21" s="822"/>
      <c r="K21" s="822"/>
      <c r="L21" s="822"/>
      <c r="M21" s="822"/>
      <c r="N21" s="822"/>
      <c r="O21" s="822"/>
      <c r="P21" s="822"/>
      <c r="Q21" s="822"/>
      <c r="R21" s="822"/>
      <c r="S21" s="823"/>
      <c r="T21" s="355" t="s">
        <v>4</v>
      </c>
      <c r="U21" s="362" t="s">
        <v>78</v>
      </c>
      <c r="V21" s="9"/>
      <c r="X21" s="216" t="s">
        <v>249</v>
      </c>
      <c r="Y21" s="217" t="s">
        <v>2</v>
      </c>
      <c r="Z21" s="218" t="s">
        <v>93</v>
      </c>
      <c r="AA21" s="202"/>
      <c r="AB21" s="217" t="s">
        <v>58</v>
      </c>
      <c r="AC21" s="217" t="s">
        <v>59</v>
      </c>
      <c r="AD21" s="217" t="s">
        <v>60</v>
      </c>
      <c r="AE21" s="217" t="s">
        <v>61</v>
      </c>
      <c r="AF21" s="221" t="s">
        <v>62</v>
      </c>
      <c r="AG21" s="110" t="s">
        <v>63</v>
      </c>
      <c r="AH21" s="35" t="s">
        <v>64</v>
      </c>
      <c r="AQ21" t="s">
        <v>84</v>
      </c>
      <c r="AS21" s="149" t="s">
        <v>220</v>
      </c>
      <c r="AT21" s="140" t="e">
        <f>VLOOKUP(1,AT4:AV18,3,FALSE)</f>
        <v>#N/A</v>
      </c>
      <c r="AU21" s="140" t="e">
        <f>VLOOKUP(1,AX4:AZ18,3,FALSE)</f>
        <v>#N/A</v>
      </c>
      <c r="AV21" s="140" t="e">
        <f>VLOOKUP(1,BB4:BD18,3,FALSE)</f>
        <v>#N/A</v>
      </c>
      <c r="AW21" s="140" t="e">
        <f>VLOOKUP(1,BF4:BH18,3,FALSE)</f>
        <v>#N/A</v>
      </c>
      <c r="AX21" s="140" t="e">
        <f>VLOOKUP(1,BJ4:BL18,3,FALSE)</f>
        <v>#N/A</v>
      </c>
      <c r="AY21" s="140" t="e">
        <f>VLOOKUP(1,BN4:BP18,3,FALSE)</f>
        <v>#N/A</v>
      </c>
      <c r="AZ21" s="140" t="e">
        <f>VLOOKUP(1,BR4:BT18,3,FALSE)</f>
        <v>#N/A</v>
      </c>
      <c r="BA21" s="168" t="e">
        <f>VLOOKUP(1,BV4:BX18,3,FALSE)</f>
        <v>#N/A</v>
      </c>
      <c r="BB21" s="143"/>
      <c r="BC21" s="143"/>
      <c r="BD21" s="143"/>
      <c r="BE21" s="143"/>
      <c r="BF21" s="143"/>
      <c r="BG21" s="143"/>
      <c r="BH21" s="143"/>
      <c r="BI21" s="144"/>
      <c r="BJ21" s="144"/>
      <c r="BK21" s="144"/>
      <c r="BL21" s="144"/>
      <c r="BM21" s="144"/>
      <c r="BN21" s="144"/>
      <c r="BZ21" s="8"/>
      <c r="CA21" s="8"/>
      <c r="CB21" s="8"/>
      <c r="CC21" s="8"/>
    </row>
    <row r="22" spans="1:81" ht="14.25" customHeight="1" thickBot="1">
      <c r="A22" s="1"/>
      <c r="B22" s="1"/>
      <c r="C22" s="824" t="s">
        <v>57</v>
      </c>
      <c r="D22" s="824"/>
      <c r="E22" s="824"/>
      <c r="F22" s="824"/>
      <c r="G22" s="825" t="s">
        <v>548</v>
      </c>
      <c r="H22" s="825"/>
      <c r="I22" s="825"/>
      <c r="J22" s="825"/>
      <c r="K22" s="825"/>
      <c r="L22" s="825"/>
      <c r="M22" s="825"/>
      <c r="N22" s="825"/>
      <c r="O22" s="825"/>
      <c r="P22" s="825"/>
      <c r="Q22" s="825"/>
      <c r="R22" s="825"/>
      <c r="S22" s="825"/>
      <c r="T22" s="236">
        <f>'3_床面積'!U27</f>
        <v>0</v>
      </c>
      <c r="U22" s="230" t="e">
        <f>IF(T22="","",T22/SUM(T$22:T$29)*100)</f>
        <v>#DIV/0!</v>
      </c>
      <c r="V22" s="9"/>
      <c r="X22" s="149" t="s">
        <v>166</v>
      </c>
      <c r="Y22" s="60">
        <v>81.3</v>
      </c>
      <c r="Z22" s="188" t="s">
        <v>5</v>
      </c>
      <c r="AA22" s="203" t="str">
        <f>C22</f>
        <v>事務所</v>
      </c>
      <c r="AB22" s="37">
        <v>800</v>
      </c>
      <c r="AC22" s="37">
        <v>400</v>
      </c>
      <c r="AD22" s="37">
        <v>2100</v>
      </c>
      <c r="AE22" s="37">
        <v>450</v>
      </c>
      <c r="AF22" s="204">
        <v>2850</v>
      </c>
      <c r="AG22" s="200">
        <v>3300</v>
      </c>
      <c r="AH22" s="37">
        <v>1200</v>
      </c>
      <c r="AI22" s="47">
        <f>800/AQ22</f>
        <v>0.2807017543859649</v>
      </c>
      <c r="AJ22" s="47">
        <f>400/AQ22</f>
        <v>0.14035087719298245</v>
      </c>
      <c r="AK22" s="47">
        <f>2100/AQ22</f>
        <v>0.73684210526315785</v>
      </c>
      <c r="AL22" s="47">
        <f>450/AQ22</f>
        <v>0.15789473684210525</v>
      </c>
      <c r="AM22" s="47">
        <f>2850/AQ22</f>
        <v>1</v>
      </c>
      <c r="AN22" s="47">
        <f>3300/AQ22</f>
        <v>1.1578947368421053</v>
      </c>
      <c r="AO22" s="47">
        <f>1200/AQ22</f>
        <v>0.42105263157894735</v>
      </c>
      <c r="AQ22" s="63">
        <v>2850</v>
      </c>
      <c r="AS22" s="169" t="s">
        <v>150</v>
      </c>
      <c r="AT22" s="170" t="e">
        <f>VLOOKUP(1,AU4:AV18,2,FALSE)</f>
        <v>#N/A</v>
      </c>
      <c r="AU22" s="170" t="e">
        <f>VLOOKUP(1,AY4:AZ18,2,FALSE)</f>
        <v>#N/A</v>
      </c>
      <c r="AV22" s="170" t="e">
        <f>VLOOKUP(1,BC4:BD18,2,FALSE)</f>
        <v>#N/A</v>
      </c>
      <c r="AW22" s="170" t="e">
        <f>VLOOKUP(1,BG4:BH18,2,FALSE)</f>
        <v>#N/A</v>
      </c>
      <c r="AX22" s="391" t="e">
        <f>VLOOKUP(1,BK4:BL17,2,FALSE)</f>
        <v>#N/A</v>
      </c>
      <c r="AY22" s="170" t="e">
        <f>VLOOKUP(1,BO4:BP18,2,FALSE)</f>
        <v>#N/A</v>
      </c>
      <c r="AZ22" s="170" t="e">
        <f>VLOOKUP(1,BS4:BT18,2,FALSE)</f>
        <v>#N/A</v>
      </c>
      <c r="BA22" s="171" t="e">
        <f>VLOOKUP(1,BW4:BX18,2,FALSE)</f>
        <v>#N/A</v>
      </c>
      <c r="BB22" s="143"/>
      <c r="BC22" s="143"/>
      <c r="BD22" s="143"/>
      <c r="BE22" s="143"/>
      <c r="BF22" s="143"/>
      <c r="BG22" s="143"/>
      <c r="BH22" s="143"/>
      <c r="BI22" s="144"/>
      <c r="BJ22" s="144"/>
      <c r="BK22" s="144"/>
      <c r="BL22" s="144"/>
      <c r="BM22" s="144"/>
      <c r="BN22" s="144"/>
    </row>
    <row r="23" spans="1:81" ht="14.25" customHeight="1">
      <c r="A23" s="1"/>
      <c r="B23" s="1"/>
      <c r="C23" s="824" t="s">
        <v>161</v>
      </c>
      <c r="D23" s="824"/>
      <c r="E23" s="824"/>
      <c r="F23" s="824"/>
      <c r="G23" s="825" t="s">
        <v>549</v>
      </c>
      <c r="H23" s="825"/>
      <c r="I23" s="825"/>
      <c r="J23" s="825"/>
      <c r="K23" s="825"/>
      <c r="L23" s="825"/>
      <c r="M23" s="825"/>
      <c r="N23" s="825"/>
      <c r="O23" s="825"/>
      <c r="P23" s="825"/>
      <c r="Q23" s="825"/>
      <c r="R23" s="825"/>
      <c r="S23" s="825"/>
      <c r="T23" s="236">
        <f>'3_床面積'!U28</f>
        <v>0</v>
      </c>
      <c r="U23" s="230" t="e">
        <f t="shared" ref="U23:U29" si="14">IF(T23="","",T23/SUM(T$22:T$29)*100)</f>
        <v>#DIV/0!</v>
      </c>
      <c r="V23" s="9"/>
      <c r="X23" s="149" t="s">
        <v>167</v>
      </c>
      <c r="Y23" s="60">
        <v>65.400000000000006</v>
      </c>
      <c r="Z23" s="188" t="s">
        <v>5</v>
      </c>
      <c r="AA23" s="203" t="str">
        <f t="shared" ref="AA23:AA29" si="15">C23</f>
        <v>商業施設（物販）</v>
      </c>
      <c r="AB23" s="37">
        <v>900</v>
      </c>
      <c r="AC23" s="37">
        <v>400</v>
      </c>
      <c r="AD23" s="37">
        <v>2200</v>
      </c>
      <c r="AE23" s="37">
        <v>550</v>
      </c>
      <c r="AF23" s="204">
        <v>2844</v>
      </c>
      <c r="AG23" s="200">
        <v>2800</v>
      </c>
      <c r="AH23" s="37">
        <v>1200</v>
      </c>
      <c r="AI23" s="47">
        <f>900/AQ23</f>
        <v>0.31645569620253167</v>
      </c>
      <c r="AJ23" s="47">
        <f>400/AQ23</f>
        <v>0.14064697609001406</v>
      </c>
      <c r="AK23" s="47">
        <f>2200/AQ23</f>
        <v>0.77355836849507731</v>
      </c>
      <c r="AL23" s="47">
        <f>550/AQ23</f>
        <v>0.19338959212376933</v>
      </c>
      <c r="AM23" s="47">
        <f>2844/AQ23</f>
        <v>1</v>
      </c>
      <c r="AN23" s="47">
        <f>2800/AQ23</f>
        <v>0.98452883263009849</v>
      </c>
      <c r="AO23" s="47">
        <f>1200/AQ23</f>
        <v>0.4219409282700422</v>
      </c>
      <c r="AQ23" s="63">
        <v>2844</v>
      </c>
      <c r="AT23" s="143"/>
      <c r="AU23" s="143"/>
      <c r="AV23" s="143"/>
      <c r="AW23" s="143"/>
      <c r="AX23" s="143"/>
      <c r="AY23" s="143"/>
      <c r="AZ23" s="143"/>
      <c r="BA23" s="143"/>
      <c r="BB23" s="143"/>
      <c r="BC23" s="143"/>
      <c r="BD23" s="143"/>
      <c r="BE23" s="143"/>
      <c r="BF23" s="143"/>
      <c r="BG23" s="143"/>
      <c r="BH23" s="143"/>
      <c r="BI23" s="144"/>
      <c r="BJ23" s="144"/>
      <c r="BK23" s="144"/>
      <c r="BL23" s="144"/>
      <c r="BM23" s="144"/>
      <c r="BN23" s="144"/>
    </row>
    <row r="24" spans="1:81" ht="14.25" customHeight="1">
      <c r="A24" s="1"/>
      <c r="B24" s="1"/>
      <c r="C24" s="824" t="s">
        <v>283</v>
      </c>
      <c r="D24" s="824"/>
      <c r="E24" s="824"/>
      <c r="F24" s="824"/>
      <c r="G24" s="825" t="s">
        <v>550</v>
      </c>
      <c r="H24" s="825"/>
      <c r="I24" s="825"/>
      <c r="J24" s="825"/>
      <c r="K24" s="825"/>
      <c r="L24" s="825"/>
      <c r="M24" s="825"/>
      <c r="N24" s="825"/>
      <c r="O24" s="825"/>
      <c r="P24" s="825"/>
      <c r="Q24" s="825"/>
      <c r="R24" s="825"/>
      <c r="S24" s="825"/>
      <c r="T24" s="236">
        <f>'3_床面積'!U29</f>
        <v>0</v>
      </c>
      <c r="U24" s="230" t="e">
        <f t="shared" si="14"/>
        <v>#DIV/0!</v>
      </c>
      <c r="V24" s="9"/>
      <c r="X24" s="149" t="s">
        <v>168</v>
      </c>
      <c r="Y24" s="60">
        <v>78.900000000000006</v>
      </c>
      <c r="Z24" s="188" t="s">
        <v>5</v>
      </c>
      <c r="AA24" s="203" t="str">
        <f t="shared" si="15"/>
        <v>商業施設（飲食）</v>
      </c>
      <c r="AB24" s="37">
        <v>1000</v>
      </c>
      <c r="AC24" s="37">
        <v>500</v>
      </c>
      <c r="AD24" s="37">
        <v>2300</v>
      </c>
      <c r="AE24" s="37">
        <v>750</v>
      </c>
      <c r="AF24" s="204">
        <v>3861</v>
      </c>
      <c r="AG24" s="200">
        <v>3800</v>
      </c>
      <c r="AH24" s="37">
        <v>1200</v>
      </c>
      <c r="AI24" s="47">
        <f>1000/AQ24</f>
        <v>0.25900025900025903</v>
      </c>
      <c r="AJ24" s="47">
        <f>500/AQ24</f>
        <v>0.12950012950012951</v>
      </c>
      <c r="AK24" s="47">
        <f>2300/AQ24</f>
        <v>0.59570059570059575</v>
      </c>
      <c r="AL24" s="47">
        <f>750/AQ24</f>
        <v>0.19425019425019424</v>
      </c>
      <c r="AM24" s="47">
        <f>3861/AQ24</f>
        <v>1</v>
      </c>
      <c r="AN24" s="47">
        <f>3800/AQ24</f>
        <v>0.98420098420098423</v>
      </c>
      <c r="AO24" s="47">
        <f>1200/AQ24</f>
        <v>0.31080031080031079</v>
      </c>
      <c r="AQ24" s="63">
        <v>3861</v>
      </c>
      <c r="AS24" s="132"/>
      <c r="AT24" s="143"/>
      <c r="AU24" s="143"/>
      <c r="AV24" s="143"/>
      <c r="AW24" s="143"/>
      <c r="AX24" s="143"/>
      <c r="AY24" s="143"/>
      <c r="AZ24" s="143"/>
      <c r="BA24" s="143"/>
      <c r="BB24" s="143"/>
      <c r="BC24" s="143"/>
      <c r="BD24" s="143"/>
      <c r="BE24" s="143"/>
      <c r="BF24" s="143"/>
      <c r="BG24" s="143"/>
      <c r="BH24" s="143"/>
      <c r="BI24" s="145"/>
      <c r="BJ24" s="141"/>
      <c r="BK24" s="141"/>
      <c r="BL24" s="141"/>
      <c r="BM24" s="141"/>
      <c r="BN24" s="141"/>
      <c r="BO24" s="8"/>
      <c r="BP24" s="8"/>
    </row>
    <row r="25" spans="1:81" ht="14.25" customHeight="1">
      <c r="A25" s="1"/>
      <c r="B25" s="1"/>
      <c r="C25" s="824" t="s">
        <v>285</v>
      </c>
      <c r="D25" s="824"/>
      <c r="E25" s="824"/>
      <c r="F25" s="824"/>
      <c r="G25" s="825" t="s">
        <v>551</v>
      </c>
      <c r="H25" s="825"/>
      <c r="I25" s="825"/>
      <c r="J25" s="825"/>
      <c r="K25" s="825"/>
      <c r="L25" s="825"/>
      <c r="M25" s="825"/>
      <c r="N25" s="825"/>
      <c r="O25" s="825"/>
      <c r="P25" s="825"/>
      <c r="Q25" s="825"/>
      <c r="R25" s="825"/>
      <c r="S25" s="825"/>
      <c r="T25" s="236">
        <f>'3_床面積'!U30</f>
        <v>0</v>
      </c>
      <c r="U25" s="230" t="e">
        <f t="shared" si="14"/>
        <v>#DIV/0!</v>
      </c>
      <c r="V25" s="9"/>
      <c r="X25" s="149" t="s">
        <v>169</v>
      </c>
      <c r="Y25" s="60">
        <v>75.5</v>
      </c>
      <c r="Z25" s="188" t="s">
        <v>5</v>
      </c>
      <c r="AA25" s="203" t="str">
        <f t="shared" si="15"/>
        <v>宿泊施設</v>
      </c>
      <c r="AB25" s="37">
        <v>1000</v>
      </c>
      <c r="AC25" s="37">
        <v>1200</v>
      </c>
      <c r="AD25" s="37">
        <v>3000</v>
      </c>
      <c r="AE25" s="37">
        <v>5000</v>
      </c>
      <c r="AF25" s="204">
        <v>5110</v>
      </c>
      <c r="AG25" s="200">
        <v>5500</v>
      </c>
      <c r="AH25" s="37">
        <v>2750</v>
      </c>
      <c r="AI25" s="47">
        <f>1000/AQ25</f>
        <v>0.19569471624266144</v>
      </c>
      <c r="AJ25" s="47">
        <f>1200/AQ25</f>
        <v>0.23483365949119372</v>
      </c>
      <c r="AK25" s="47">
        <f>3000/AQ25</f>
        <v>0.58708414872798431</v>
      </c>
      <c r="AL25" s="47">
        <f>5000/AQ25</f>
        <v>0.97847358121330719</v>
      </c>
      <c r="AM25" s="47">
        <f>5110/AQ25</f>
        <v>1</v>
      </c>
      <c r="AN25" s="47">
        <f>5500/AQ25</f>
        <v>1.076320939334638</v>
      </c>
      <c r="AO25" s="47">
        <f>2750/AQ25</f>
        <v>0.53816046966731901</v>
      </c>
      <c r="AQ25" s="63">
        <v>5110</v>
      </c>
      <c r="AS25" s="8"/>
      <c r="AT25" s="143"/>
      <c r="AU25" s="143"/>
      <c r="AV25" s="143"/>
      <c r="AW25" s="143"/>
      <c r="AX25" s="143"/>
      <c r="AY25" s="143"/>
      <c r="AZ25" s="143"/>
      <c r="BA25" s="143"/>
      <c r="BB25" s="143"/>
      <c r="BC25" s="143"/>
      <c r="BD25" s="143"/>
      <c r="BE25" s="143"/>
      <c r="BF25" s="143"/>
      <c r="BG25" s="143"/>
      <c r="BH25" s="143"/>
      <c r="BI25" s="145"/>
      <c r="BJ25" s="141"/>
      <c r="BK25" s="141"/>
      <c r="BL25" s="141"/>
      <c r="BM25" s="141"/>
      <c r="BN25" s="141"/>
      <c r="BO25" s="8"/>
      <c r="BP25" s="8"/>
    </row>
    <row r="26" spans="1:81" ht="14.25" customHeight="1">
      <c r="A26" s="1"/>
      <c r="B26" s="1"/>
      <c r="C26" s="824" t="s">
        <v>287</v>
      </c>
      <c r="D26" s="824"/>
      <c r="E26" s="824"/>
      <c r="F26" s="824"/>
      <c r="G26" s="825" t="s">
        <v>552</v>
      </c>
      <c r="H26" s="825"/>
      <c r="I26" s="825"/>
      <c r="J26" s="825"/>
      <c r="K26" s="825"/>
      <c r="L26" s="825"/>
      <c r="M26" s="825"/>
      <c r="N26" s="825"/>
      <c r="O26" s="825"/>
      <c r="P26" s="825"/>
      <c r="Q26" s="825"/>
      <c r="R26" s="825"/>
      <c r="S26" s="825"/>
      <c r="T26" s="236">
        <f>'3_床面積'!U31</f>
        <v>0</v>
      </c>
      <c r="U26" s="230" t="e">
        <f t="shared" si="14"/>
        <v>#DIV/0!</v>
      </c>
      <c r="V26" s="9"/>
      <c r="X26" s="149" t="s">
        <v>553</v>
      </c>
      <c r="Y26" s="60">
        <v>75.099999999999994</v>
      </c>
      <c r="Z26" s="188" t="s">
        <v>5</v>
      </c>
      <c r="AA26" s="203" t="str">
        <f t="shared" si="15"/>
        <v>教育施設</v>
      </c>
      <c r="AB26" s="37">
        <v>400</v>
      </c>
      <c r="AC26" s="37">
        <v>500</v>
      </c>
      <c r="AD26" s="37">
        <v>1350</v>
      </c>
      <c r="AE26" s="37">
        <v>550</v>
      </c>
      <c r="AF26" s="204">
        <v>2000</v>
      </c>
      <c r="AG26" s="200">
        <v>2300</v>
      </c>
      <c r="AH26" s="37">
        <v>1200</v>
      </c>
      <c r="AI26" s="47">
        <f>400/AQ26</f>
        <v>0.2</v>
      </c>
      <c r="AJ26" s="47">
        <f>500/AQ26</f>
        <v>0.25</v>
      </c>
      <c r="AK26" s="47">
        <f>1350/AQ26</f>
        <v>0.67500000000000004</v>
      </c>
      <c r="AL26" s="47">
        <f>550/AQ26</f>
        <v>0.27500000000000002</v>
      </c>
      <c r="AM26" s="47">
        <f>2000/AQ26</f>
        <v>1</v>
      </c>
      <c r="AN26" s="47">
        <f>2300/AQ26</f>
        <v>1.1499999999999999</v>
      </c>
      <c r="AO26" s="47">
        <f>1200/AQ26</f>
        <v>0.6</v>
      </c>
      <c r="AQ26" s="63">
        <v>2000</v>
      </c>
      <c r="AS26" s="8"/>
      <c r="AT26" s="240" t="s">
        <v>263</v>
      </c>
      <c r="AU26" s="143"/>
      <c r="AV26" s="143"/>
      <c r="AW26" s="213"/>
      <c r="AX26" s="213"/>
      <c r="AY26" s="213"/>
      <c r="AZ26" s="213"/>
      <c r="BA26" s="213"/>
      <c r="BB26" s="213"/>
      <c r="BC26" s="213"/>
      <c r="BD26" s="213"/>
      <c r="BE26" s="213"/>
      <c r="BF26" s="213"/>
      <c r="BG26" s="213"/>
      <c r="BH26" s="213"/>
      <c r="BI26" s="141"/>
      <c r="BJ26" s="141"/>
      <c r="BK26" s="141"/>
      <c r="BL26" s="141"/>
      <c r="BM26" s="141"/>
      <c r="BN26" s="141"/>
      <c r="BO26" s="8"/>
      <c r="BP26" s="8"/>
    </row>
    <row r="27" spans="1:81" ht="14.25" customHeight="1" thickBot="1">
      <c r="A27" s="1"/>
      <c r="B27" s="1"/>
      <c r="C27" s="824" t="s">
        <v>289</v>
      </c>
      <c r="D27" s="824"/>
      <c r="E27" s="824"/>
      <c r="F27" s="824"/>
      <c r="G27" s="825" t="s">
        <v>554</v>
      </c>
      <c r="H27" s="825"/>
      <c r="I27" s="825"/>
      <c r="J27" s="825"/>
      <c r="K27" s="825"/>
      <c r="L27" s="825"/>
      <c r="M27" s="825"/>
      <c r="N27" s="825"/>
      <c r="O27" s="825"/>
      <c r="P27" s="825"/>
      <c r="Q27" s="825"/>
      <c r="R27" s="825"/>
      <c r="S27" s="825"/>
      <c r="T27" s="236">
        <f>'3_床面積'!U32</f>
        <v>0</v>
      </c>
      <c r="U27" s="230" t="e">
        <f t="shared" si="14"/>
        <v>#DIV/0!</v>
      </c>
      <c r="V27" s="9"/>
      <c r="X27" s="149" t="s">
        <v>555</v>
      </c>
      <c r="Y27" s="60">
        <v>207.7</v>
      </c>
      <c r="Z27" s="188" t="s">
        <v>72</v>
      </c>
      <c r="AA27" s="203" t="str">
        <f t="shared" si="15"/>
        <v>医療施設</v>
      </c>
      <c r="AB27" s="37">
        <v>1000</v>
      </c>
      <c r="AC27" s="37">
        <v>900</v>
      </c>
      <c r="AD27" s="37">
        <v>3400</v>
      </c>
      <c r="AE27" s="37">
        <v>1600</v>
      </c>
      <c r="AF27" s="204">
        <v>5110</v>
      </c>
      <c r="AG27" s="200">
        <v>5100</v>
      </c>
      <c r="AH27" s="37">
        <v>1800</v>
      </c>
      <c r="AI27" s="47">
        <f>1000/AQ27</f>
        <v>0.19569471624266144</v>
      </c>
      <c r="AJ27" s="47">
        <f>900/AQ27</f>
        <v>0.17612524461839529</v>
      </c>
      <c r="AK27" s="47">
        <f>3400/AQ27</f>
        <v>0.66536203522504889</v>
      </c>
      <c r="AL27" s="47">
        <f>1600/AQ27</f>
        <v>0.3131115459882583</v>
      </c>
      <c r="AM27" s="47">
        <f>5110/AQ27</f>
        <v>1</v>
      </c>
      <c r="AN27" s="47">
        <f>5100/AQ27</f>
        <v>0.99804305283757333</v>
      </c>
      <c r="AO27" s="47">
        <f>1800/AQ27</f>
        <v>0.35225048923679059</v>
      </c>
      <c r="AQ27" s="63">
        <v>5110</v>
      </c>
      <c r="AS27" s="8"/>
      <c r="AT27" s="143"/>
      <c r="AU27" s="143"/>
      <c r="AV27" s="143"/>
      <c r="AW27" s="213"/>
      <c r="AX27" s="213"/>
      <c r="AY27" s="8"/>
      <c r="AZ27" s="8"/>
      <c r="BA27" s="8"/>
      <c r="BB27" s="8"/>
      <c r="BC27" s="8"/>
      <c r="BD27" s="8"/>
      <c r="BE27" s="8"/>
      <c r="BF27" s="8"/>
      <c r="BG27" s="213"/>
      <c r="BH27" s="213"/>
      <c r="BI27" s="146"/>
      <c r="BJ27" s="146"/>
      <c r="BK27" s="146"/>
      <c r="BL27" s="146"/>
      <c r="BM27" s="146"/>
      <c r="BN27" s="146"/>
      <c r="BO27" s="8"/>
      <c r="BP27" s="8"/>
    </row>
    <row r="28" spans="1:81" ht="14.25" customHeight="1">
      <c r="A28" s="1"/>
      <c r="B28" s="1"/>
      <c r="C28" s="824" t="s">
        <v>290</v>
      </c>
      <c r="D28" s="824"/>
      <c r="E28" s="824"/>
      <c r="F28" s="824"/>
      <c r="G28" s="825" t="s">
        <v>556</v>
      </c>
      <c r="H28" s="825"/>
      <c r="I28" s="825"/>
      <c r="J28" s="825"/>
      <c r="K28" s="825"/>
      <c r="L28" s="825"/>
      <c r="M28" s="825"/>
      <c r="N28" s="825"/>
      <c r="O28" s="825"/>
      <c r="P28" s="825"/>
      <c r="Q28" s="825"/>
      <c r="R28" s="825"/>
      <c r="S28" s="825"/>
      <c r="T28" s="236">
        <f>'3_床面積'!U33</f>
        <v>0</v>
      </c>
      <c r="U28" s="230" t="e">
        <f t="shared" si="14"/>
        <v>#DIV/0!</v>
      </c>
      <c r="V28" s="9"/>
      <c r="X28" s="149" t="s">
        <v>172</v>
      </c>
      <c r="Y28" s="60">
        <v>174.8</v>
      </c>
      <c r="Z28" s="188" t="s">
        <v>72</v>
      </c>
      <c r="AA28" s="203" t="str">
        <f t="shared" si="15"/>
        <v>文化・娯楽施設</v>
      </c>
      <c r="AB28" s="38">
        <v>1000</v>
      </c>
      <c r="AC28" s="38">
        <v>500</v>
      </c>
      <c r="AD28" s="38">
        <v>2300</v>
      </c>
      <c r="AE28" s="38">
        <v>1100</v>
      </c>
      <c r="AF28" s="205">
        <v>3861</v>
      </c>
      <c r="AG28" s="201">
        <v>3800</v>
      </c>
      <c r="AH28" s="38">
        <v>1200</v>
      </c>
      <c r="AI28" s="48">
        <f>1000/AQ28</f>
        <v>0.25900025900025903</v>
      </c>
      <c r="AJ28" s="48">
        <f>500/AQ28</f>
        <v>0.12950012950012951</v>
      </c>
      <c r="AK28" s="48">
        <f>2300/AQ28</f>
        <v>0.59570059570059575</v>
      </c>
      <c r="AL28" s="48">
        <f>1100/AQ28</f>
        <v>0.28490028490028491</v>
      </c>
      <c r="AM28" s="48">
        <f>3861/AQ28</f>
        <v>1</v>
      </c>
      <c r="AN28" s="48">
        <f>3800/AQ28</f>
        <v>0.98420098420098423</v>
      </c>
      <c r="AO28" s="48">
        <f>1200/AQ28</f>
        <v>0.31080031080031079</v>
      </c>
      <c r="AQ28" s="64">
        <v>3861</v>
      </c>
      <c r="AS28" s="8"/>
      <c r="AT28" s="819"/>
      <c r="AU28" s="797">
        <v>2013</v>
      </c>
      <c r="AV28" s="797"/>
      <c r="AW28" s="797">
        <v>2014</v>
      </c>
      <c r="AX28" s="798"/>
      <c r="AY28" s="797">
        <v>2015</v>
      </c>
      <c r="AZ28" s="797"/>
      <c r="BA28" s="797">
        <v>2016</v>
      </c>
      <c r="BB28" s="798"/>
      <c r="BC28" s="797">
        <v>2017</v>
      </c>
      <c r="BD28" s="797"/>
      <c r="BE28" s="797">
        <v>2018</v>
      </c>
      <c r="BF28" s="798"/>
      <c r="BG28" s="797">
        <v>2019</v>
      </c>
      <c r="BH28" s="797"/>
      <c r="BI28" s="797">
        <v>2020</v>
      </c>
      <c r="BJ28" s="798"/>
      <c r="BK28" s="141"/>
      <c r="BL28" s="141"/>
      <c r="BM28" s="141"/>
      <c r="BN28" s="141"/>
      <c r="BO28" s="8"/>
      <c r="BP28" s="8"/>
    </row>
    <row r="29" spans="1:81" ht="14.25" customHeight="1">
      <c r="A29" s="1"/>
      <c r="B29" s="1"/>
      <c r="C29" s="824" t="s">
        <v>293</v>
      </c>
      <c r="D29" s="824"/>
      <c r="E29" s="824"/>
      <c r="F29" s="824"/>
      <c r="G29" s="825" t="s">
        <v>557</v>
      </c>
      <c r="H29" s="825"/>
      <c r="I29" s="825"/>
      <c r="J29" s="825"/>
      <c r="K29" s="825"/>
      <c r="L29" s="825"/>
      <c r="M29" s="825"/>
      <c r="N29" s="825"/>
      <c r="O29" s="825"/>
      <c r="P29" s="825"/>
      <c r="Q29" s="825"/>
      <c r="R29" s="825"/>
      <c r="S29" s="825"/>
      <c r="T29" s="236">
        <f>'3_床面積'!U34</f>
        <v>0</v>
      </c>
      <c r="U29" s="230" t="e">
        <f t="shared" si="14"/>
        <v>#DIV/0!</v>
      </c>
      <c r="V29" s="9"/>
      <c r="X29" s="149" t="s">
        <v>558</v>
      </c>
      <c r="Y29" s="60">
        <v>124.1</v>
      </c>
      <c r="Z29" s="188" t="s">
        <v>72</v>
      </c>
      <c r="AA29" s="203" t="str">
        <f t="shared" si="15"/>
        <v>その他</v>
      </c>
      <c r="AB29" s="38">
        <f t="shared" ref="AB29:AH29" si="16">AB22</f>
        <v>800</v>
      </c>
      <c r="AC29" s="38">
        <f t="shared" si="16"/>
        <v>400</v>
      </c>
      <c r="AD29" s="38">
        <f t="shared" si="16"/>
        <v>2100</v>
      </c>
      <c r="AE29" s="38">
        <f t="shared" si="16"/>
        <v>450</v>
      </c>
      <c r="AF29" s="205">
        <f t="shared" si="16"/>
        <v>2850</v>
      </c>
      <c r="AG29" s="201">
        <f t="shared" si="16"/>
        <v>3300</v>
      </c>
      <c r="AH29" s="38">
        <f t="shared" si="16"/>
        <v>1200</v>
      </c>
      <c r="AI29" s="48">
        <f>AI22</f>
        <v>0.2807017543859649</v>
      </c>
      <c r="AJ29" s="48">
        <f t="shared" ref="AJ29:AO29" si="17">AJ22</f>
        <v>0.14035087719298245</v>
      </c>
      <c r="AK29" s="48">
        <f t="shared" si="17"/>
        <v>0.73684210526315785</v>
      </c>
      <c r="AL29" s="48">
        <f t="shared" si="17"/>
        <v>0.15789473684210525</v>
      </c>
      <c r="AM29" s="48">
        <f t="shared" si="17"/>
        <v>1</v>
      </c>
      <c r="AN29" s="48">
        <f t="shared" si="17"/>
        <v>1.1578947368421053</v>
      </c>
      <c r="AO29" s="48">
        <f t="shared" si="17"/>
        <v>0.42105263157894735</v>
      </c>
      <c r="AQ29" s="64">
        <f>AQ22</f>
        <v>2850</v>
      </c>
      <c r="AS29" s="8"/>
      <c r="AT29" s="820"/>
      <c r="AU29" s="799"/>
      <c r="AV29" s="799"/>
      <c r="AW29" s="799"/>
      <c r="AX29" s="800"/>
      <c r="AY29" s="799"/>
      <c r="AZ29" s="799"/>
      <c r="BA29" s="799"/>
      <c r="BB29" s="800"/>
      <c r="BC29" s="799"/>
      <c r="BD29" s="799"/>
      <c r="BE29" s="799"/>
      <c r="BF29" s="800"/>
      <c r="BG29" s="799"/>
      <c r="BH29" s="799"/>
      <c r="BI29" s="799"/>
      <c r="BJ29" s="800"/>
      <c r="BK29" s="141"/>
      <c r="BL29" s="141"/>
      <c r="BM29" s="141"/>
      <c r="BN29" s="141"/>
      <c r="BO29" s="8"/>
      <c r="BP29" s="8"/>
    </row>
    <row r="30" spans="1:81" ht="14.25" customHeight="1">
      <c r="A30" s="1"/>
      <c r="B30" s="1"/>
      <c r="C30" s="720" t="s">
        <v>85</v>
      </c>
      <c r="D30" s="720"/>
      <c r="E30" s="720"/>
      <c r="F30" s="720"/>
      <c r="G30" s="720"/>
      <c r="H30" s="720"/>
      <c r="I30" s="720"/>
      <c r="J30" s="720"/>
      <c r="K30" s="720"/>
      <c r="L30" s="720"/>
      <c r="M30" s="720"/>
      <c r="N30" s="720"/>
      <c r="O30" s="720"/>
      <c r="P30" s="720"/>
      <c r="Q30" s="720"/>
      <c r="R30" s="720"/>
      <c r="S30" s="720"/>
      <c r="T30" s="237">
        <f>IF(AND(T22="",T23="",T24="",T25="",T26="",T27="",T28="",T29=""),"",SUM(T22:T29))</f>
        <v>0</v>
      </c>
      <c r="U30" s="231">
        <f>IF(T30="","",100)</f>
        <v>100</v>
      </c>
      <c r="V30" s="9"/>
      <c r="X30" s="149" t="s">
        <v>174</v>
      </c>
      <c r="Y30" s="60">
        <v>585.4</v>
      </c>
      <c r="Z30" s="188" t="s">
        <v>72</v>
      </c>
      <c r="AA30" s="206" t="s">
        <v>559</v>
      </c>
      <c r="AB30" s="107" t="e">
        <f t="shared" ref="AB30:AO30" si="18">(AB22*$T22+AB23*$T23+AB24*$T24+AB25*$T25+AB26*$T26+AB27*$T27+AB28*$T28+AB29*$T29)/$T30</f>
        <v>#DIV/0!</v>
      </c>
      <c r="AC30" s="107" t="e">
        <f t="shared" si="18"/>
        <v>#DIV/0!</v>
      </c>
      <c r="AD30" s="107" t="e">
        <f t="shared" si="18"/>
        <v>#DIV/0!</v>
      </c>
      <c r="AE30" s="107" t="e">
        <f t="shared" si="18"/>
        <v>#DIV/0!</v>
      </c>
      <c r="AF30" s="207" t="e">
        <f t="shared" si="18"/>
        <v>#DIV/0!</v>
      </c>
      <c r="AG30" s="201" t="e">
        <f t="shared" si="18"/>
        <v>#DIV/0!</v>
      </c>
      <c r="AH30" s="38" t="e">
        <f t="shared" si="18"/>
        <v>#DIV/0!</v>
      </c>
      <c r="AI30" s="48" t="e">
        <f t="shared" si="18"/>
        <v>#DIV/0!</v>
      </c>
      <c r="AJ30" s="48" t="e">
        <f t="shared" si="18"/>
        <v>#DIV/0!</v>
      </c>
      <c r="AK30" s="48" t="e">
        <f t="shared" si="18"/>
        <v>#DIV/0!</v>
      </c>
      <c r="AL30" s="48" t="e">
        <f t="shared" si="18"/>
        <v>#DIV/0!</v>
      </c>
      <c r="AM30" s="48" t="e">
        <f t="shared" si="18"/>
        <v>#DIV/0!</v>
      </c>
      <c r="AN30" s="48" t="e">
        <f t="shared" si="18"/>
        <v>#DIV/0!</v>
      </c>
      <c r="AO30" s="48" t="e">
        <f t="shared" si="18"/>
        <v>#DIV/0!</v>
      </c>
      <c r="AQ30" s="64" t="e">
        <f>(AQ22*$T22+AQ23*$T23+AQ24*$T24+AQ25*$T25+AQ26*$T26+AQ27*$T27+AQ28*$T28+AQ29*$T29)/$T30</f>
        <v>#DIV/0!</v>
      </c>
      <c r="AR30" s="184"/>
      <c r="AS30" s="8"/>
      <c r="AT30" s="148"/>
      <c r="AU30" s="241" t="s">
        <v>239</v>
      </c>
      <c r="AV30" s="241" t="s">
        <v>240</v>
      </c>
      <c r="AW30" s="241" t="s">
        <v>239</v>
      </c>
      <c r="AX30" s="220" t="s">
        <v>240</v>
      </c>
      <c r="AY30" s="241" t="s">
        <v>239</v>
      </c>
      <c r="AZ30" s="220" t="s">
        <v>240</v>
      </c>
      <c r="BA30" s="241" t="s">
        <v>239</v>
      </c>
      <c r="BB30" s="220" t="s">
        <v>240</v>
      </c>
      <c r="BC30" s="241" t="s">
        <v>239</v>
      </c>
      <c r="BD30" s="220" t="s">
        <v>240</v>
      </c>
      <c r="BE30" s="241" t="s">
        <v>239</v>
      </c>
      <c r="BF30" s="220" t="s">
        <v>240</v>
      </c>
      <c r="BG30" s="241" t="s">
        <v>239</v>
      </c>
      <c r="BH30" s="220" t="s">
        <v>240</v>
      </c>
      <c r="BI30" s="241" t="s">
        <v>239</v>
      </c>
      <c r="BJ30" s="220" t="s">
        <v>240</v>
      </c>
      <c r="BK30" s="141"/>
      <c r="BL30" s="141"/>
      <c r="BM30" s="141"/>
      <c r="BN30" s="141"/>
      <c r="BO30" s="8"/>
      <c r="BP30" s="8"/>
    </row>
    <row r="31" spans="1:81" ht="14.25" customHeight="1">
      <c r="A31" s="1"/>
      <c r="B31" s="1"/>
      <c r="C31" s="8"/>
      <c r="D31" s="8"/>
      <c r="E31" s="8"/>
      <c r="F31" s="8"/>
      <c r="G31" s="8"/>
      <c r="H31" s="8"/>
      <c r="I31" s="8"/>
      <c r="J31" s="8"/>
      <c r="K31" s="8"/>
      <c r="L31" s="8"/>
      <c r="M31" s="8"/>
      <c r="N31" s="8"/>
      <c r="O31" s="8"/>
      <c r="P31" s="8"/>
      <c r="Q31" s="8"/>
      <c r="R31" s="8"/>
      <c r="S31" s="8"/>
      <c r="T31" s="8"/>
      <c r="U31" s="8"/>
      <c r="V31" s="9"/>
      <c r="X31" s="149" t="s">
        <v>175</v>
      </c>
      <c r="Y31" s="60">
        <v>295.39999999999998</v>
      </c>
      <c r="Z31" s="188" t="s">
        <v>72</v>
      </c>
      <c r="AA31" s="208" t="s">
        <v>96</v>
      </c>
      <c r="AB31" s="193" t="e">
        <f>AQ30*AB30/(AB30+AC30)</f>
        <v>#DIV/0!</v>
      </c>
      <c r="AC31" s="193" t="e">
        <f>AQ30*AC30/(AB30+AC30)</f>
        <v>#DIV/0!</v>
      </c>
      <c r="AD31" s="193" t="e">
        <f>AQ30*AD30/(AD30+AE30)</f>
        <v>#DIV/0!</v>
      </c>
      <c r="AE31" s="193" t="e">
        <f>AQ30*AE30/(AD30+AE30)</f>
        <v>#DIV/0!</v>
      </c>
      <c r="AF31" s="209" t="e">
        <f>AQ30</f>
        <v>#DIV/0!</v>
      </c>
      <c r="AG31" s="46"/>
      <c r="AH31" s="46"/>
      <c r="AI31" s="46"/>
      <c r="AJ31" s="46"/>
      <c r="AK31" s="46"/>
      <c r="AL31" s="46"/>
      <c r="AM31" s="46"/>
      <c r="AN31" s="46"/>
      <c r="AO31" s="46"/>
      <c r="AP31" s="46"/>
      <c r="AQ31" s="46"/>
      <c r="AR31" s="46"/>
      <c r="AS31" s="8"/>
      <c r="AT31" s="149" t="s">
        <v>215</v>
      </c>
      <c r="AU31" s="140">
        <f>'[2]2_エネルギー使用量 (電気)'!Z12</f>
        <v>0</v>
      </c>
      <c r="AV31" s="140">
        <f>IF('[2]2_エネルギー使用量 (電気)'!AA12&gt;0,'[2]2_エネルギー使用量 (電気)'!AA12,0)</f>
        <v>0</v>
      </c>
      <c r="AW31" s="140">
        <f>'[2]2_エネルギー使用量 (電気)'!Z13</f>
        <v>0</v>
      </c>
      <c r="AX31" s="140">
        <f>IF('[2]2_エネルギー使用量 (電気)'!AA13&gt;0,'[2]2_エネルギー使用量 (電気)'!AA13,0)</f>
        <v>0</v>
      </c>
      <c r="AY31" s="140">
        <f>'[2]2_エネルギー使用量 (電気)'!Z14</f>
        <v>0</v>
      </c>
      <c r="AZ31" s="140">
        <f>IF('[2]2_エネルギー使用量 (電気)'!AA14&gt;0,'[2]2_エネルギー使用量 (電気)'!AA14,0)</f>
        <v>0</v>
      </c>
      <c r="BA31" s="140">
        <f>'[2]2_エネルギー使用量 (電気)'!Z15</f>
        <v>0</v>
      </c>
      <c r="BB31" s="140">
        <f>IF('[2]2_エネルギー使用量 (電気)'!AA15&gt;0,'[2]2_エネルギー使用量 (電気)'!AA15,0)</f>
        <v>0</v>
      </c>
      <c r="BC31" s="140">
        <f>'[2]2_エネルギー使用量 (電気)'!Z16</f>
        <v>0</v>
      </c>
      <c r="BD31" s="140">
        <f>IF('[2]2_エネルギー使用量 (電気)'!AA16&gt;0,'[2]2_エネルギー使用量 (電気)'!AA16,0)</f>
        <v>0</v>
      </c>
      <c r="BE31" s="140">
        <f>'[2]2_エネルギー使用量 (電気)'!Z17</f>
        <v>0</v>
      </c>
      <c r="BF31" s="140">
        <f>IF('[2]2_エネルギー使用量 (電気)'!AA17&gt;0,'[2]2_エネルギー使用量 (電気)'!AA17,0)</f>
        <v>0</v>
      </c>
      <c r="BG31" s="140">
        <f>'[2]2_エネルギー使用量 (電気)'!Z18</f>
        <v>0</v>
      </c>
      <c r="BH31" s="140">
        <f>IF('[2]2_エネルギー使用量 (電気)'!AA18&gt;0,'[2]2_エネルギー使用量 (電気)'!AA18,0)</f>
        <v>0</v>
      </c>
      <c r="BI31" s="392">
        <f>'[2]2_エネルギー使用量 (電気)'!Z19</f>
        <v>0</v>
      </c>
      <c r="BJ31" s="392">
        <f>IF('[2]2_エネルギー使用量 (電気)'!AA19&gt;0,'[2]2_エネルギー使用量 (電気)'!AA19,0)</f>
        <v>0</v>
      </c>
      <c r="BK31" s="135"/>
      <c r="BL31" s="141"/>
      <c r="BM31" s="141"/>
      <c r="BN31" s="141"/>
      <c r="BO31" s="8"/>
      <c r="BP31" s="8"/>
    </row>
    <row r="32" spans="1:81" ht="14.25" customHeight="1" thickBot="1">
      <c r="A32" s="1"/>
      <c r="B32" s="1"/>
      <c r="C32" s="10" t="s">
        <v>6</v>
      </c>
      <c r="D32" s="10"/>
      <c r="E32" s="8"/>
      <c r="F32" s="8"/>
      <c r="G32" s="8"/>
      <c r="H32" s="8"/>
      <c r="I32" s="89" t="s">
        <v>143</v>
      </c>
      <c r="J32" s="839" t="s">
        <v>100</v>
      </c>
      <c r="K32" s="839"/>
      <c r="L32" s="8"/>
      <c r="M32" s="840" t="s">
        <v>560</v>
      </c>
      <c r="N32" s="840"/>
      <c r="O32" s="840"/>
      <c r="P32" s="840"/>
      <c r="Q32" s="840"/>
      <c r="R32" s="840"/>
      <c r="S32" s="841"/>
      <c r="T32" s="842" t="str">
        <f>IF(G18="","",HLOOKUP(G18-1,BB41:BI42,2,FALSE))</f>
        <v/>
      </c>
      <c r="U32" s="842"/>
      <c r="V32" s="9"/>
      <c r="X32" s="149" t="s">
        <v>176</v>
      </c>
      <c r="Y32" s="60">
        <v>259.7</v>
      </c>
      <c r="Z32" s="188" t="s">
        <v>72</v>
      </c>
      <c r="AA32" s="210" t="s">
        <v>97</v>
      </c>
      <c r="AB32" s="211" t="e">
        <f>AF32*VLOOKUP(AE16,AA22:AH29,2,FALSE)/(VLOOKUP(AE16,AA22:AH29,3,FALSE)+VLOOKUP(AE16,AA22:AH29,2,FALSE))</f>
        <v>#N/A</v>
      </c>
      <c r="AC32" s="211" t="e">
        <f>AF32*VLOOKUP(AE16,AA22:AH29,3,FALSE)/(VLOOKUP(AE16,AA22:AH29,3,FALSE)+VLOOKUP(AE16,AA22:AH29,2,FALSE))</f>
        <v>#N/A</v>
      </c>
      <c r="AD32" s="211" t="e">
        <f>AF32*VLOOKUP(AE16,AA22:AH29,4,FALSE)/(VLOOKUP(AE16,AA22:AH29,5,FALSE)+VLOOKUP(AE16,AA22:AH29,4,FALSE))</f>
        <v>#N/A</v>
      </c>
      <c r="AE32" s="211" t="e">
        <f>AF32*VLOOKUP(AE16,AA22:AH29,5,FALSE)/(VLOOKUP(AE16,AA22:AH29,5,FALSE)+VLOOKUP(AE16,AA22:AH29,4,FALSE))</f>
        <v>#N/A</v>
      </c>
      <c r="AF32" s="212" t="e">
        <f>VLOOKUP(AE16,AA22:AH29,6,FALSE)</f>
        <v>#N/A</v>
      </c>
      <c r="AS32" s="8"/>
      <c r="AT32" s="149" t="s">
        <v>236</v>
      </c>
      <c r="AU32" s="140">
        <f>'[2]3_エネルギー使用量 (都市ガス) '!Y14</f>
        <v>0</v>
      </c>
      <c r="AV32" s="140">
        <f>IF('[2]3_エネルギー使用量 (都市ガス) '!Z14&gt;0,'[2]3_エネルギー使用量 (都市ガス) '!Z14,0)</f>
        <v>0</v>
      </c>
      <c r="AW32" s="140">
        <f>'[2]3_エネルギー使用量 (都市ガス) '!Y15</f>
        <v>0</v>
      </c>
      <c r="AX32" s="140">
        <f>IF('[2]3_エネルギー使用量 (都市ガス) '!Z15&gt;0,'[2]3_エネルギー使用量 (都市ガス) '!Z15,0)</f>
        <v>0</v>
      </c>
      <c r="AY32" s="140">
        <f>'[2]3_エネルギー使用量 (都市ガス) '!Y16</f>
        <v>0</v>
      </c>
      <c r="AZ32" s="140">
        <f>IF('[2]3_エネルギー使用量 (都市ガス) '!Z16&gt;0,'[2]3_エネルギー使用量 (都市ガス) '!Z16,0)</f>
        <v>0</v>
      </c>
      <c r="BA32" s="140">
        <f>'[2]3_エネルギー使用量 (都市ガス) '!Y17</f>
        <v>0</v>
      </c>
      <c r="BB32" s="140">
        <f>IF('[2]3_エネルギー使用量 (都市ガス) '!Z17&gt;0,'[2]3_エネルギー使用量 (都市ガス) '!Z17,0)</f>
        <v>0</v>
      </c>
      <c r="BC32" s="140">
        <f>'[2]3_エネルギー使用量 (都市ガス) '!Y18</f>
        <v>0</v>
      </c>
      <c r="BD32" s="140">
        <f>IF('[2]3_エネルギー使用量 (都市ガス) '!Z18&gt;0,'[2]3_エネルギー使用量 (都市ガス) '!Z18,0)</f>
        <v>0</v>
      </c>
      <c r="BE32" s="140">
        <f>'[2]3_エネルギー使用量 (都市ガス) '!Y19</f>
        <v>0</v>
      </c>
      <c r="BF32" s="140">
        <f>IF('[2]3_エネルギー使用量 (都市ガス) '!Z19&gt;0,'[2]3_エネルギー使用量 (都市ガス) '!Z19,0)</f>
        <v>0</v>
      </c>
      <c r="BG32" s="140">
        <f>'[2]3_エネルギー使用量 (都市ガス) '!Y20</f>
        <v>0</v>
      </c>
      <c r="BH32" s="140">
        <f>IF('[2]3_エネルギー使用量 (都市ガス) '!Z20&gt;0,'[2]3_エネルギー使用量 (都市ガス) '!Z20,0)</f>
        <v>0</v>
      </c>
      <c r="BI32" s="242">
        <f>'[2]3_エネルギー使用量 (都市ガス) '!Y21</f>
        <v>0</v>
      </c>
      <c r="BJ32" s="242">
        <f>IF('[2]3_エネルギー使用量 (都市ガス) '!Z21&gt;0,'[2]3_エネルギー使用量 (都市ガス) '!Z21,0)</f>
        <v>0</v>
      </c>
      <c r="BK32" s="141"/>
      <c r="BL32" s="141"/>
      <c r="BM32" s="141"/>
      <c r="BN32" s="141"/>
      <c r="BO32" s="8"/>
      <c r="BP32" s="8"/>
    </row>
    <row r="33" spans="1:68" ht="15" customHeight="1">
      <c r="A33" s="1"/>
      <c r="B33" s="1"/>
      <c r="C33" s="8"/>
      <c r="D33" s="8"/>
      <c r="E33" s="8"/>
      <c r="F33" s="8"/>
      <c r="G33" s="8"/>
      <c r="H33" s="8"/>
      <c r="I33" s="8"/>
      <c r="J33" s="8"/>
      <c r="K33" s="8"/>
      <c r="L33" s="8"/>
      <c r="M33" s="8"/>
      <c r="N33" s="8"/>
      <c r="O33" s="8"/>
      <c r="P33" s="8"/>
      <c r="Q33" s="8"/>
      <c r="R33" s="8"/>
      <c r="S33" s="8"/>
      <c r="T33" s="8"/>
      <c r="U33" s="8"/>
      <c r="V33" s="9"/>
      <c r="X33" s="149" t="s">
        <v>177</v>
      </c>
      <c r="Y33" s="60">
        <v>387</v>
      </c>
      <c r="Z33" s="188" t="s">
        <v>72</v>
      </c>
      <c r="AA33" s="8"/>
      <c r="AB33" s="8"/>
      <c r="AC33" s="8"/>
      <c r="AD33" s="8"/>
      <c r="AE33" s="8"/>
      <c r="AF33" s="182"/>
      <c r="AG33" s="182"/>
      <c r="AH33" s="182"/>
      <c r="AI33" s="182"/>
      <c r="AJ33" s="182"/>
      <c r="AK33" s="182"/>
      <c r="AL33" s="182"/>
      <c r="AM33" s="182"/>
      <c r="AN33" s="182"/>
      <c r="AO33" s="182"/>
      <c r="AP33" s="8"/>
      <c r="AT33" s="150" t="s">
        <v>45</v>
      </c>
      <c r="AU33" s="140">
        <f>'[2]4_エネルギー使用量 (その他)'!AA12</f>
        <v>0</v>
      </c>
      <c r="AV33" s="243">
        <f>'[2]4_エネルギー使用量 (その他)'!AB12</f>
        <v>0</v>
      </c>
      <c r="AW33" s="140">
        <f>'[2]4_エネルギー使用量 (その他)'!AA13</f>
        <v>0</v>
      </c>
      <c r="AX33" s="243">
        <f>'[2]4_エネルギー使用量 (その他)'!AB13</f>
        <v>0</v>
      </c>
      <c r="AY33" s="140">
        <f>'[2]4_エネルギー使用量 (その他)'!AA14</f>
        <v>0</v>
      </c>
      <c r="AZ33" s="243">
        <f>'[2]4_エネルギー使用量 (その他)'!AB14</f>
        <v>0</v>
      </c>
      <c r="BA33" s="140">
        <f>'[2]4_エネルギー使用量 (その他)'!AA15</f>
        <v>0</v>
      </c>
      <c r="BB33" s="243">
        <f>'[2]4_エネルギー使用量 (その他)'!AB15</f>
        <v>0</v>
      </c>
      <c r="BC33" s="140">
        <f>'[2]4_エネルギー使用量 (その他)'!AA16</f>
        <v>0</v>
      </c>
      <c r="BD33" s="243">
        <f>'[2]4_エネルギー使用量 (その他)'!AB16</f>
        <v>0</v>
      </c>
      <c r="BE33" s="140">
        <f>'[2]4_エネルギー使用量 (その他)'!AA17</f>
        <v>0</v>
      </c>
      <c r="BF33" s="243">
        <f>'[2]4_エネルギー使用量 (その他)'!AB17</f>
        <v>0</v>
      </c>
      <c r="BG33" s="140">
        <f>'[2]4_エネルギー使用量 (その他)'!AA18</f>
        <v>0</v>
      </c>
      <c r="BH33" s="243">
        <f>'[2]4_エネルギー使用量 (その他)'!AB18</f>
        <v>0</v>
      </c>
      <c r="BI33" s="242">
        <f>'[2]4_エネルギー使用量 (その他)'!AA19</f>
        <v>0</v>
      </c>
      <c r="BJ33" s="233">
        <f>'[2]4_エネルギー使用量 (その他)'!AB19</f>
        <v>0</v>
      </c>
      <c r="BK33" s="141"/>
      <c r="BL33" s="146"/>
      <c r="BM33" s="146"/>
      <c r="BN33" s="146"/>
      <c r="BO33" s="134"/>
      <c r="BP33" s="134"/>
    </row>
    <row r="34" spans="1:68" ht="13.5" customHeight="1">
      <c r="A34" s="1"/>
      <c r="B34" s="1"/>
      <c r="C34" s="720" t="s">
        <v>7</v>
      </c>
      <c r="D34" s="720"/>
      <c r="E34" s="720"/>
      <c r="F34" s="720" t="s">
        <v>561</v>
      </c>
      <c r="G34" s="833" t="s">
        <v>210</v>
      </c>
      <c r="H34" s="834"/>
      <c r="I34" s="834"/>
      <c r="J34" s="834"/>
      <c r="K34" s="834"/>
      <c r="L34" s="834"/>
      <c r="M34" s="834"/>
      <c r="N34" s="834"/>
      <c r="O34" s="834"/>
      <c r="P34" s="837" t="s">
        <v>157</v>
      </c>
      <c r="Q34" s="837"/>
      <c r="R34" s="837"/>
      <c r="S34" s="837"/>
      <c r="T34" s="837" t="s">
        <v>9</v>
      </c>
      <c r="U34" s="720"/>
      <c r="V34" s="9"/>
      <c r="X34" s="149" t="s">
        <v>178</v>
      </c>
      <c r="Y34" s="60">
        <v>765.3</v>
      </c>
      <c r="Z34" s="188" t="s">
        <v>72</v>
      </c>
      <c r="AA34" s="8"/>
      <c r="AB34" s="8"/>
      <c r="AC34" s="8"/>
      <c r="AD34" s="8"/>
      <c r="AE34" s="8"/>
      <c r="AF34" s="51"/>
      <c r="AG34" s="51"/>
      <c r="AH34" s="51"/>
      <c r="AI34" s="51"/>
      <c r="AJ34" s="51"/>
      <c r="AK34" s="51"/>
      <c r="AL34" s="51"/>
      <c r="AM34" s="51"/>
      <c r="AN34" s="51"/>
      <c r="AO34" s="51"/>
      <c r="AP34" s="8"/>
      <c r="AT34" s="150" t="s">
        <v>237</v>
      </c>
      <c r="AU34" s="140">
        <f>'[2]5_未計測テナント除外'!L14</f>
        <v>0</v>
      </c>
      <c r="AV34" s="140">
        <f>'[2]5_未計測テナント除外'!M14</f>
        <v>0</v>
      </c>
      <c r="AW34" s="140">
        <f>'[2]5_未計測テナント除外'!L15</f>
        <v>0</v>
      </c>
      <c r="AX34" s="140">
        <f>'[2]5_未計測テナント除外'!M15</f>
        <v>0</v>
      </c>
      <c r="AY34" s="140">
        <f>'[2]5_未計測テナント除外'!L16</f>
        <v>0</v>
      </c>
      <c r="AZ34" s="140">
        <f>'[2]5_未計測テナント除外'!M16</f>
        <v>0</v>
      </c>
      <c r="BA34" s="140">
        <f>'[2]5_未計測テナント除外'!L17</f>
        <v>0</v>
      </c>
      <c r="BB34" s="140">
        <f>'[2]5_未計測テナント除外'!M17</f>
        <v>0</v>
      </c>
      <c r="BC34" s="140">
        <f>'[2]5_未計測テナント除外'!L18</f>
        <v>0</v>
      </c>
      <c r="BD34" s="140">
        <f>'[2]5_未計測テナント除外'!M18</f>
        <v>0</v>
      </c>
      <c r="BE34" s="140">
        <f>'[2]5_未計測テナント除外'!L19</f>
        <v>0</v>
      </c>
      <c r="BF34" s="140">
        <f>'[2]5_未計測テナント除外'!M19</f>
        <v>0</v>
      </c>
      <c r="BG34" s="140">
        <f>'[2]5_未計測テナント除外'!L20</f>
        <v>0</v>
      </c>
      <c r="BH34" s="140">
        <f>'[2]5_未計測テナント除外'!M20</f>
        <v>0</v>
      </c>
      <c r="BI34" s="392">
        <f>'[2]5_未計測テナント除外'!L21</f>
        <v>0</v>
      </c>
      <c r="BJ34" s="392">
        <f>'[2]5_未計測テナント除外'!M21</f>
        <v>0</v>
      </c>
      <c r="BK34" s="135"/>
      <c r="BL34" s="141"/>
      <c r="BM34" s="141"/>
      <c r="BN34" s="141"/>
      <c r="BO34" s="8"/>
      <c r="BP34" s="8"/>
    </row>
    <row r="35" spans="1:68">
      <c r="A35" s="1"/>
      <c r="B35" s="1"/>
      <c r="C35" s="720"/>
      <c r="D35" s="720"/>
      <c r="E35" s="720"/>
      <c r="F35" s="720"/>
      <c r="G35" s="835"/>
      <c r="H35" s="836"/>
      <c r="I35" s="836"/>
      <c r="J35" s="836"/>
      <c r="K35" s="836"/>
      <c r="L35" s="836"/>
      <c r="M35" s="836"/>
      <c r="N35" s="836"/>
      <c r="O35" s="836"/>
      <c r="P35" s="838" t="s">
        <v>48</v>
      </c>
      <c r="Q35" s="838"/>
      <c r="R35" s="720" t="s">
        <v>144</v>
      </c>
      <c r="S35" s="720"/>
      <c r="T35" s="720"/>
      <c r="U35" s="720"/>
      <c r="V35" s="9"/>
      <c r="X35" s="149" t="s">
        <v>179</v>
      </c>
      <c r="Y35" s="60">
        <v>124.8</v>
      </c>
      <c r="Z35" s="188" t="s">
        <v>72</v>
      </c>
      <c r="AA35" s="8"/>
      <c r="AB35" s="8"/>
      <c r="AC35" s="8"/>
      <c r="AD35" s="8"/>
      <c r="AE35" s="8"/>
      <c r="AF35" s="51"/>
      <c r="AG35" s="51"/>
      <c r="AH35" s="51"/>
      <c r="AI35" s="51"/>
      <c r="AJ35" s="51"/>
      <c r="AK35" s="51"/>
      <c r="AL35" s="51"/>
      <c r="AM35" s="51"/>
      <c r="AN35" s="51"/>
      <c r="AO35" s="51"/>
      <c r="AP35" s="8"/>
      <c r="AT35" s="150" t="s">
        <v>238</v>
      </c>
      <c r="AU35" s="244">
        <f>'[2]6_テナント入居率'!AB11</f>
        <v>0</v>
      </c>
      <c r="AV35" s="244">
        <f>'[2]6_テナント入居率'!AJ11</f>
        <v>0</v>
      </c>
      <c r="AW35" s="244">
        <f>'[2]6_テナント入居率'!AB12</f>
        <v>0</v>
      </c>
      <c r="AX35" s="244">
        <f>'[2]6_テナント入居率'!AJ12</f>
        <v>0</v>
      </c>
      <c r="AY35" s="244">
        <f>'[2]6_テナント入居率'!AB13</f>
        <v>0</v>
      </c>
      <c r="AZ35" s="244">
        <f>'[2]6_テナント入居率'!AJ13</f>
        <v>0</v>
      </c>
      <c r="BA35" s="244">
        <f>'[2]6_テナント入居率'!AB14</f>
        <v>0</v>
      </c>
      <c r="BB35" s="244">
        <f>'[2]6_テナント入居率'!AJ14</f>
        <v>0</v>
      </c>
      <c r="BC35" s="244">
        <f>'[2]6_テナント入居率'!AB15</f>
        <v>0</v>
      </c>
      <c r="BD35" s="244">
        <f>'[2]6_テナント入居率'!AJ15</f>
        <v>0</v>
      </c>
      <c r="BE35" s="244">
        <f>'[2]6_テナント入居率'!AB16</f>
        <v>0</v>
      </c>
      <c r="BF35" s="244">
        <f>'[2]6_テナント入居率'!AJ16</f>
        <v>0</v>
      </c>
      <c r="BG35" s="244">
        <f>'[2]6_テナント入居率'!AB17</f>
        <v>0</v>
      </c>
      <c r="BH35" s="244">
        <f>'[2]6_テナント入居率'!AJ17</f>
        <v>0</v>
      </c>
      <c r="BI35" s="242">
        <f>'[2]6_テナント入居率'!AB18</f>
        <v>0</v>
      </c>
      <c r="BJ35" s="242">
        <f>'[2]6_テナント入居率'!AJ18</f>
        <v>0</v>
      </c>
      <c r="BK35" s="141"/>
      <c r="BL35" s="141"/>
      <c r="BM35" s="141"/>
      <c r="BN35" s="141"/>
      <c r="BO35" s="8"/>
      <c r="BP35" s="8"/>
    </row>
    <row r="36" spans="1:68" ht="14.25" customHeight="1" thickBot="1">
      <c r="A36" s="1"/>
      <c r="B36" s="1"/>
      <c r="C36" s="843" t="s">
        <v>188</v>
      </c>
      <c r="D36" s="843"/>
      <c r="E36" s="843"/>
      <c r="F36" s="360" t="s">
        <v>562</v>
      </c>
      <c r="G36" s="844" t="s">
        <v>10</v>
      </c>
      <c r="H36" s="845"/>
      <c r="I36" s="845"/>
      <c r="J36" s="845"/>
      <c r="K36" s="845"/>
      <c r="L36" s="845"/>
      <c r="M36" s="845"/>
      <c r="N36" s="845"/>
      <c r="O36" s="846"/>
      <c r="P36" s="842" t="str">
        <f>IF('[2]10_パッケージ (新設)'!G9="○",'[2]10_パッケージ (新設)'!BD3,IF('[2]18_熱源機器（撤去） '!AA9&gt;0,'[2]18_熱源機器（撤去） '!AA9,IF('[2]7_熱源機器（新設）'!AB9&gt;0,'[2]7_熱源機器（新設）'!AB9,"")))</f>
        <v/>
      </c>
      <c r="Q36" s="842"/>
      <c r="R36" s="842" t="str">
        <f>IF('[2]10_パッケージ (新設)'!G9="○",'[2]10_パッケージ (新設)'!BE3,IF('[2]7_熱源機器（新設）'!AA9&gt;0,'[2]7_熱源機器（新設）'!AA9,""))</f>
        <v/>
      </c>
      <c r="S36" s="842"/>
      <c r="T36" s="847" t="str">
        <f>IF('[2]10_パッケージ (新設)'!G9="○",'[2]10_パッケージ (新設)'!BF6,IF(AND(P36="",R36=""),"",P36-R36))</f>
        <v/>
      </c>
      <c r="U36" s="848"/>
      <c r="V36" s="9"/>
      <c r="X36" s="149" t="s">
        <v>180</v>
      </c>
      <c r="Y36" s="60">
        <v>63.4</v>
      </c>
      <c r="Z36" s="188" t="s">
        <v>72</v>
      </c>
      <c r="AA36" s="8"/>
      <c r="AB36" s="8"/>
      <c r="AC36" s="8"/>
      <c r="AD36" s="8"/>
      <c r="AE36" s="8"/>
      <c r="AF36" s="51"/>
      <c r="AG36" s="51"/>
      <c r="AH36" s="51"/>
      <c r="AI36" s="51"/>
      <c r="AJ36" s="51"/>
      <c r="AK36" s="51"/>
      <c r="AL36" s="51"/>
      <c r="AM36" s="51"/>
      <c r="AN36" s="51"/>
      <c r="AO36" s="51"/>
      <c r="AP36" s="8"/>
      <c r="AT36" s="151" t="s">
        <v>85</v>
      </c>
      <c r="AU36" s="245">
        <f>AU31+AU32+AU33-AU34+AU35</f>
        <v>0</v>
      </c>
      <c r="AV36" s="245">
        <f t="shared" ref="AV36:BJ36" si="19">AV31+AV32+AV33-AV34+AV35</f>
        <v>0</v>
      </c>
      <c r="AW36" s="245">
        <f t="shared" si="19"/>
        <v>0</v>
      </c>
      <c r="AX36" s="245">
        <f t="shared" si="19"/>
        <v>0</v>
      </c>
      <c r="AY36" s="245">
        <f t="shared" si="19"/>
        <v>0</v>
      </c>
      <c r="AZ36" s="245">
        <f t="shared" si="19"/>
        <v>0</v>
      </c>
      <c r="BA36" s="245">
        <f t="shared" si="19"/>
        <v>0</v>
      </c>
      <c r="BB36" s="245">
        <f t="shared" si="19"/>
        <v>0</v>
      </c>
      <c r="BC36" s="245">
        <f t="shared" si="19"/>
        <v>0</v>
      </c>
      <c r="BD36" s="245">
        <f t="shared" si="19"/>
        <v>0</v>
      </c>
      <c r="BE36" s="245">
        <f t="shared" si="19"/>
        <v>0</v>
      </c>
      <c r="BF36" s="245">
        <f t="shared" si="19"/>
        <v>0</v>
      </c>
      <c r="BG36" s="245">
        <f t="shared" si="19"/>
        <v>0</v>
      </c>
      <c r="BH36" s="245">
        <f t="shared" si="19"/>
        <v>0</v>
      </c>
      <c r="BI36" s="245">
        <f t="shared" si="19"/>
        <v>0</v>
      </c>
      <c r="BJ36" s="245">
        <f t="shared" si="19"/>
        <v>0</v>
      </c>
      <c r="BK36" s="145"/>
      <c r="BL36" s="141"/>
      <c r="BM36" s="141"/>
      <c r="BN36" s="141"/>
      <c r="BO36" s="8"/>
      <c r="BP36" s="8"/>
    </row>
    <row r="37" spans="1:68" ht="14.25" customHeight="1">
      <c r="A37" s="1"/>
      <c r="B37" s="1"/>
      <c r="C37" s="843"/>
      <c r="D37" s="843"/>
      <c r="E37" s="843"/>
      <c r="F37" s="360" t="s">
        <v>563</v>
      </c>
      <c r="G37" s="844" t="s">
        <v>11</v>
      </c>
      <c r="H37" s="845"/>
      <c r="I37" s="845"/>
      <c r="J37" s="845"/>
      <c r="K37" s="845"/>
      <c r="L37" s="845"/>
      <c r="M37" s="845"/>
      <c r="N37" s="845"/>
      <c r="O37" s="846"/>
      <c r="P37" s="842" t="str">
        <f>IF('[2]10_パッケージ (新設)'!G9="○",'[2]10_パッケージ (新設)'!BP4,IF('[2]19_冷却塔（撤去）'!U9&gt;0,'[2]19_冷却塔（撤去）'!U9,IF('[2]8_冷却塔（新設）'!Z9&gt;0,'[2]8_冷却塔（新設）'!Z9,"")))</f>
        <v/>
      </c>
      <c r="Q37" s="842"/>
      <c r="R37" s="842" t="str">
        <f>IF('[2]8_冷却塔（新設）'!Y9&gt;0,'[2]8_冷却塔（新設）'!Y9,"")</f>
        <v/>
      </c>
      <c r="S37" s="842"/>
      <c r="T37" s="847" t="str">
        <f>IF(AND(P37="",R37=""),"",IF(R37="",P37,P37-R37))</f>
        <v/>
      </c>
      <c r="U37" s="848"/>
      <c r="V37" s="9"/>
      <c r="X37" s="149" t="s">
        <v>181</v>
      </c>
      <c r="Y37" s="60">
        <v>596.6</v>
      </c>
      <c r="Z37" s="188" t="s">
        <v>73</v>
      </c>
      <c r="AA37" s="8"/>
      <c r="AB37" s="8"/>
      <c r="AC37" s="8"/>
      <c r="AD37" s="8"/>
      <c r="AE37" s="8"/>
      <c r="AF37" s="51"/>
      <c r="AG37" s="51"/>
      <c r="AH37" s="51"/>
      <c r="AI37" s="51"/>
      <c r="AJ37" s="51"/>
      <c r="AK37" s="51"/>
      <c r="AL37" s="51"/>
      <c r="AM37" s="51"/>
      <c r="AN37" s="51"/>
      <c r="AO37" s="51"/>
      <c r="AP37" s="8"/>
      <c r="AT37" s="144"/>
      <c r="AU37" s="144"/>
      <c r="AV37" s="144"/>
      <c r="AW37" s="141"/>
      <c r="AX37" s="141"/>
      <c r="AY37" s="141"/>
      <c r="AZ37" s="141"/>
      <c r="BA37" s="141"/>
      <c r="BB37" s="141"/>
      <c r="BC37" s="141"/>
      <c r="BD37" s="141"/>
      <c r="BE37" s="141"/>
      <c r="BF37" s="141"/>
      <c r="BG37" s="141"/>
      <c r="BH37" s="141"/>
      <c r="BI37" s="141"/>
      <c r="BJ37" s="141"/>
      <c r="BK37" s="141"/>
      <c r="BL37" s="135"/>
      <c r="BM37" s="135"/>
      <c r="BN37" s="135"/>
      <c r="BO37" s="363"/>
      <c r="BP37" s="363"/>
    </row>
    <row r="38" spans="1:68" ht="14.25" customHeight="1">
      <c r="A38" s="1"/>
      <c r="B38" s="1"/>
      <c r="C38" s="843"/>
      <c r="D38" s="843"/>
      <c r="E38" s="843"/>
      <c r="F38" s="360" t="s">
        <v>564</v>
      </c>
      <c r="G38" s="849" t="s">
        <v>12</v>
      </c>
      <c r="H38" s="849"/>
      <c r="I38" s="849"/>
      <c r="J38" s="849"/>
      <c r="K38" s="849"/>
      <c r="L38" s="849"/>
      <c r="M38" s="849"/>
      <c r="N38" s="849"/>
      <c r="O38" s="849"/>
      <c r="P38" s="857" t="str">
        <f>IF('[2]10_パッケージ (新設)'!G9="○",'[2]10_パッケージ (新設)'!BO4,IF('[2]20_空調用ポンプ (撤去)'!U9&gt;0,'[2]20_空調用ポンプ (撤去)'!U9,IF('[2]9_空調用ポンプ（新設）'!Z9&gt;0,'[2]9_空調用ポンプ（新設）'!Z9,"")))</f>
        <v/>
      </c>
      <c r="Q38" s="858"/>
      <c r="R38" s="857" t="str">
        <f>IF('[2]9_空調用ポンプ（新設）'!Y9&gt;0,'[2]9_空調用ポンプ（新設）'!Y9,"")</f>
        <v/>
      </c>
      <c r="S38" s="858"/>
      <c r="T38" s="861" t="str">
        <f>IF(AND(P38="",R38=""),"",IF(R38="",P38,IF(T39="",P38-R38,P38-R38-T39)))</f>
        <v/>
      </c>
      <c r="U38" s="861"/>
      <c r="V38" s="9"/>
      <c r="X38" s="149" t="s">
        <v>182</v>
      </c>
      <c r="Y38" s="60">
        <v>365.1</v>
      </c>
      <c r="Z38" s="188" t="s">
        <v>73</v>
      </c>
      <c r="AA38" s="8"/>
      <c r="AB38" s="8"/>
      <c r="AC38" s="8"/>
      <c r="AD38" s="8"/>
      <c r="AE38" s="8"/>
      <c r="AF38" s="51"/>
      <c r="AG38" s="51"/>
      <c r="AH38" s="51"/>
      <c r="AI38" s="51"/>
      <c r="AJ38" s="51"/>
      <c r="AK38" s="51"/>
      <c r="AL38" s="51"/>
      <c r="AM38" s="51"/>
      <c r="AN38" s="51"/>
      <c r="AO38" s="51"/>
      <c r="AP38" s="8"/>
      <c r="AT38" s="144"/>
      <c r="AU38" s="144"/>
      <c r="AV38" s="144"/>
      <c r="AW38" s="141"/>
      <c r="AX38" s="141"/>
      <c r="AY38" s="141"/>
      <c r="AZ38" s="141"/>
      <c r="BA38" s="141"/>
      <c r="BB38" s="141"/>
      <c r="BC38" s="141"/>
      <c r="BD38" s="141"/>
      <c r="BE38" s="141"/>
      <c r="BF38" s="141"/>
      <c r="BG38" s="141"/>
      <c r="BH38" s="141"/>
      <c r="BI38" s="141"/>
      <c r="BJ38" s="141"/>
      <c r="BK38" s="141"/>
      <c r="BL38" s="141"/>
      <c r="BM38" s="141"/>
      <c r="BN38" s="141"/>
      <c r="BO38" s="8"/>
      <c r="BP38" s="8"/>
    </row>
    <row r="39" spans="1:68" ht="14.25" customHeight="1">
      <c r="A39" s="1"/>
      <c r="B39" s="1"/>
      <c r="C39" s="843"/>
      <c r="D39" s="843"/>
      <c r="E39" s="843"/>
      <c r="F39" s="360" t="s">
        <v>565</v>
      </c>
      <c r="G39" s="862" t="s">
        <v>216</v>
      </c>
      <c r="H39" s="863"/>
      <c r="I39" s="863"/>
      <c r="J39" s="863"/>
      <c r="K39" s="863"/>
      <c r="L39" s="863"/>
      <c r="M39" s="863"/>
      <c r="N39" s="863"/>
      <c r="O39" s="864"/>
      <c r="P39" s="859"/>
      <c r="Q39" s="860"/>
      <c r="R39" s="859"/>
      <c r="S39" s="860"/>
      <c r="T39" s="861" t="str">
        <f>IF('[2]9_空調用ポンプ（新設）'!AA9&gt;0,'[2]9_空調用ポンプ（新設）'!AA9,"")</f>
        <v/>
      </c>
      <c r="U39" s="861"/>
      <c r="V39" s="9"/>
      <c r="X39" s="149" t="s">
        <v>183</v>
      </c>
      <c r="Y39" s="60">
        <v>733.4</v>
      </c>
      <c r="Z39" s="188" t="s">
        <v>73</v>
      </c>
      <c r="AA39" s="8"/>
      <c r="AB39" s="8"/>
      <c r="AC39" s="8"/>
      <c r="AD39" s="8"/>
      <c r="AE39" s="8"/>
      <c r="AF39" s="51"/>
      <c r="AG39" s="51"/>
      <c r="AH39" s="51"/>
      <c r="AI39" s="51"/>
      <c r="AJ39" s="51"/>
      <c r="AK39" s="51"/>
      <c r="AL39" s="51"/>
      <c r="AM39" s="51"/>
      <c r="AN39" s="51"/>
      <c r="AO39" s="51"/>
      <c r="AP39" s="8"/>
      <c r="AT39" s="160" t="s">
        <v>244</v>
      </c>
      <c r="AU39" s="144"/>
      <c r="AV39" s="144"/>
      <c r="AW39" s="141"/>
      <c r="AX39" s="141"/>
      <c r="AY39" s="141"/>
      <c r="AZ39" s="141"/>
      <c r="BA39" s="141"/>
      <c r="BB39" s="141"/>
      <c r="BC39" s="141"/>
      <c r="BD39" s="141"/>
      <c r="BE39" s="141"/>
      <c r="BF39" s="141"/>
      <c r="BG39" s="141"/>
      <c r="BH39" s="141"/>
      <c r="BI39" s="141"/>
      <c r="BJ39" s="141"/>
      <c r="BK39" s="141"/>
      <c r="BL39" s="141"/>
      <c r="BM39" s="141"/>
      <c r="BN39" s="141"/>
      <c r="BO39" s="8"/>
      <c r="BP39" s="8"/>
    </row>
    <row r="40" spans="1:68" ht="14.25" customHeight="1" thickBot="1">
      <c r="A40" s="1"/>
      <c r="B40" s="1"/>
      <c r="C40" s="843" t="s">
        <v>189</v>
      </c>
      <c r="D40" s="843"/>
      <c r="E40" s="867"/>
      <c r="F40" s="360" t="s">
        <v>566</v>
      </c>
      <c r="G40" s="844" t="s">
        <v>153</v>
      </c>
      <c r="H40" s="845"/>
      <c r="I40" s="845"/>
      <c r="J40" s="845"/>
      <c r="K40" s="845"/>
      <c r="L40" s="845"/>
      <c r="M40" s="845"/>
      <c r="N40" s="845"/>
      <c r="O40" s="846"/>
      <c r="P40" s="842" t="str">
        <f>IF('[2]10_パッケージ (新設)'!G9="○",'[2]10_パッケージ (新設)'!BD4,IF('[2]21_パッケージ (撤去) '!Y9&gt;0,'[2]21_パッケージ (撤去) '!Y9,IF('[2]10_パッケージ (新設)'!AC9&gt;0,'[2]10_パッケージ (新設)'!AC9,"")))</f>
        <v/>
      </c>
      <c r="Q40" s="842"/>
      <c r="R40" s="865" t="str">
        <f>IF('[2]10_パッケージ (新設)'!AB9&gt;0,'[2]10_パッケージ (新設)'!AB9,"")</f>
        <v/>
      </c>
      <c r="S40" s="866"/>
      <c r="T40" s="847" t="str">
        <f>IF('[2]10_パッケージ (新設)'!G9="○",'[2]10_パッケージ (新設)'!BG6,IF(AND(P40="",R40=""),"",P40-R40))</f>
        <v/>
      </c>
      <c r="U40" s="848"/>
      <c r="V40" s="9"/>
      <c r="X40" s="149" t="s">
        <v>184</v>
      </c>
      <c r="Y40" s="60">
        <v>414.1</v>
      </c>
      <c r="Z40" s="188" t="s">
        <v>73</v>
      </c>
      <c r="AA40" s="8"/>
      <c r="AB40" s="8"/>
      <c r="AC40" s="8"/>
      <c r="AD40" s="8"/>
      <c r="AE40" s="8"/>
      <c r="AF40" s="51"/>
      <c r="AG40" s="51"/>
      <c r="AH40" s="51"/>
      <c r="AI40" s="51"/>
      <c r="AJ40" s="51"/>
      <c r="AK40" s="51"/>
      <c r="AL40" s="51"/>
      <c r="AM40" s="51"/>
      <c r="AN40" s="51"/>
      <c r="AO40" s="51"/>
      <c r="AP40" s="8"/>
      <c r="AT40" s="144"/>
      <c r="AU40" s="144"/>
      <c r="AV40" s="144"/>
      <c r="AW40" s="141"/>
      <c r="AX40" s="141"/>
      <c r="AY40" s="141"/>
      <c r="AZ40" s="141"/>
      <c r="BA40" s="141"/>
      <c r="BB40" s="135"/>
      <c r="BC40" s="135"/>
      <c r="BD40" s="135"/>
      <c r="BE40" s="135"/>
      <c r="BF40" s="135"/>
      <c r="BG40" s="135"/>
      <c r="BH40" s="135"/>
      <c r="BI40" s="135"/>
      <c r="BJ40" s="135"/>
      <c r="BK40" s="135"/>
      <c r="BL40" s="135"/>
      <c r="BM40" s="135"/>
      <c r="BN40" s="135"/>
      <c r="BO40" s="135"/>
      <c r="BP40" s="135"/>
    </row>
    <row r="41" spans="1:68" ht="14.25" customHeight="1">
      <c r="A41" s="1"/>
      <c r="B41" s="1"/>
      <c r="C41" s="867"/>
      <c r="D41" s="867"/>
      <c r="E41" s="867"/>
      <c r="F41" s="360" t="s">
        <v>567</v>
      </c>
      <c r="G41" s="844" t="s">
        <v>13</v>
      </c>
      <c r="H41" s="845"/>
      <c r="I41" s="845"/>
      <c r="J41" s="845"/>
      <c r="K41" s="845"/>
      <c r="L41" s="845"/>
      <c r="M41" s="845"/>
      <c r="N41" s="845"/>
      <c r="O41" s="846"/>
      <c r="P41" s="842" t="str">
        <f>IF('[2]10_パッケージ (新設)'!G9="○",'[2]10_パッケージ (新設)'!BQ4,IF('[2]22_空調機（撤去）'!Q9&gt;0,'[2]22_空調機（撤去）'!Q9,IF('[2]11_空調機（新設）'!U9&gt;0,'[2]11_空調機（新設）'!U9,"")))</f>
        <v/>
      </c>
      <c r="Q41" s="842"/>
      <c r="R41" s="842" t="str">
        <f>IF('[2]11_空調機（新設）'!T9&gt;0,'[2]11_空調機（新設）'!T9,"")</f>
        <v/>
      </c>
      <c r="S41" s="842"/>
      <c r="T41" s="847" t="str">
        <f>IF(AND(P41="",R41=""),"",IF(R41="",P41,P41-R41))</f>
        <v/>
      </c>
      <c r="U41" s="848"/>
      <c r="V41" s="9"/>
      <c r="X41" s="149" t="s">
        <v>185</v>
      </c>
      <c r="Y41" s="60">
        <v>561.9</v>
      </c>
      <c r="Z41" s="188" t="s">
        <v>73</v>
      </c>
      <c r="AA41" s="183" t="s">
        <v>246</v>
      </c>
      <c r="AF41" s="51"/>
      <c r="AG41" s="51"/>
      <c r="AH41" s="51"/>
      <c r="AI41" s="51"/>
      <c r="AJ41" s="51"/>
      <c r="AK41" s="51"/>
      <c r="AL41" s="51"/>
      <c r="AM41" s="51"/>
      <c r="AN41" s="51"/>
      <c r="AO41" s="51"/>
      <c r="AT41" s="850"/>
      <c r="AU41" s="851"/>
      <c r="AV41" s="851"/>
      <c r="AW41" s="163" t="s">
        <v>48</v>
      </c>
      <c r="AX41" s="163" t="s">
        <v>144</v>
      </c>
      <c r="AY41" s="164" t="s">
        <v>243</v>
      </c>
      <c r="AZ41" s="141"/>
      <c r="BA41" s="242"/>
      <c r="BB41" s="242">
        <v>2013</v>
      </c>
      <c r="BC41" s="242">
        <v>2014</v>
      </c>
      <c r="BD41" s="242">
        <v>2015</v>
      </c>
      <c r="BE41" s="242">
        <v>2016</v>
      </c>
      <c r="BF41" s="242">
        <v>2017</v>
      </c>
      <c r="BG41" s="242">
        <v>2018</v>
      </c>
      <c r="BH41" s="242">
        <v>2019</v>
      </c>
      <c r="BI41" s="242">
        <v>2020</v>
      </c>
      <c r="BJ41" s="141"/>
      <c r="BK41" s="141"/>
      <c r="BL41" s="141"/>
      <c r="BM41" s="141"/>
      <c r="BN41" s="141"/>
      <c r="BO41" s="8"/>
      <c r="BP41" s="8"/>
    </row>
    <row r="42" spans="1:68" ht="14.25" customHeight="1">
      <c r="A42" s="1"/>
      <c r="B42" s="1"/>
      <c r="C42" s="867"/>
      <c r="D42" s="867"/>
      <c r="E42" s="867"/>
      <c r="F42" s="360" t="s">
        <v>568</v>
      </c>
      <c r="G42" s="852" t="s">
        <v>14</v>
      </c>
      <c r="H42" s="853"/>
      <c r="I42" s="853"/>
      <c r="J42" s="853"/>
      <c r="K42" s="853"/>
      <c r="L42" s="853"/>
      <c r="M42" s="853"/>
      <c r="N42" s="853"/>
      <c r="O42" s="854"/>
      <c r="P42" s="855"/>
      <c r="Q42" s="855"/>
      <c r="R42" s="855"/>
      <c r="S42" s="855"/>
      <c r="T42" s="847" t="str">
        <f>IF('[2]12_空調制御（新設）'!V7&gt;0,'[2]12_空調制御（新設）'!V7,"")</f>
        <v/>
      </c>
      <c r="U42" s="848"/>
      <c r="V42" s="9"/>
      <c r="X42" s="149" t="s">
        <v>186</v>
      </c>
      <c r="Y42" s="60">
        <v>985.1</v>
      </c>
      <c r="Z42" s="188" t="s">
        <v>73</v>
      </c>
      <c r="AA42" s="110" t="s">
        <v>94</v>
      </c>
      <c r="AB42" s="35"/>
      <c r="AC42" s="35"/>
      <c r="AD42" s="35"/>
      <c r="AE42" s="35"/>
      <c r="AF42" s="186"/>
      <c r="AG42" s="186"/>
      <c r="AH42" s="186"/>
      <c r="AI42" s="186"/>
      <c r="AJ42" s="186"/>
      <c r="AK42" s="186"/>
      <c r="AL42" s="186"/>
      <c r="AM42" s="186"/>
      <c r="AN42" s="186"/>
      <c r="AO42" s="186"/>
      <c r="AP42" s="35"/>
      <c r="AQ42" s="35"/>
      <c r="AT42" s="856" t="s">
        <v>10</v>
      </c>
      <c r="AU42" s="849"/>
      <c r="AV42" s="849"/>
      <c r="AW42" s="393" t="str">
        <f>IF('[2]10_パッケージ (新設)'!G9="○",'[2]10_パッケージ (新設)'!BD10,IF('[2]18_熱源機器（撤去） '!AC9&gt;0,'[2]18_熱源機器（撤去） '!AC9,IF('[2]7_熱源機器（新設）'!AD9&gt;0,'[2]7_熱源機器（新設）'!AD9,"")))</f>
        <v/>
      </c>
      <c r="AX42" s="393" t="str">
        <f>IF('[2]10_パッケージ (新設)'!G9="○",'[2]10_パッケージ (新設)'!BE10,IF('[2]7_熱源機器（新設）'!AC9&gt;0,'[2]7_熱源機器（新設）'!AC9,""))</f>
        <v/>
      </c>
      <c r="AY42" s="394"/>
      <c r="AZ42" s="357"/>
      <c r="BA42" s="113" t="s">
        <v>242</v>
      </c>
      <c r="BB42" s="395">
        <f>AU36</f>
        <v>0</v>
      </c>
      <c r="BC42" s="396">
        <f>AW36</f>
        <v>0</v>
      </c>
      <c r="BD42" s="396">
        <f>AY36</f>
        <v>0</v>
      </c>
      <c r="BE42" s="396">
        <f>BA36</f>
        <v>0</v>
      </c>
      <c r="BF42" s="396">
        <f>BC36</f>
        <v>0</v>
      </c>
      <c r="BG42" s="396">
        <f>BE36</f>
        <v>0</v>
      </c>
      <c r="BH42" s="396">
        <f>BG36</f>
        <v>0</v>
      </c>
      <c r="BI42" s="396">
        <f>BI36</f>
        <v>0</v>
      </c>
      <c r="BJ42" s="136"/>
      <c r="BK42" s="136"/>
      <c r="BL42" s="136"/>
      <c r="BM42" s="136"/>
      <c r="BN42" s="136"/>
      <c r="BO42" s="136"/>
      <c r="BP42" s="136"/>
    </row>
    <row r="43" spans="1:68" ht="14.25" customHeight="1">
      <c r="A43" s="1"/>
      <c r="B43" s="1"/>
      <c r="C43" s="867"/>
      <c r="D43" s="867"/>
      <c r="E43" s="867"/>
      <c r="F43" s="360" t="s">
        <v>199</v>
      </c>
      <c r="G43" s="852" t="s">
        <v>56</v>
      </c>
      <c r="H43" s="853"/>
      <c r="I43" s="853"/>
      <c r="J43" s="853"/>
      <c r="K43" s="853"/>
      <c r="L43" s="853"/>
      <c r="M43" s="853"/>
      <c r="N43" s="853"/>
      <c r="O43" s="854"/>
      <c r="P43" s="842" t="str">
        <f>IF('[2]23_全熱交換器 (撤去) '!Y10&gt;0,'[2]23_全熱交換器 (撤去) '!Y10,IF('[2]13_全熱交換器 (新設)'!AA10&gt;0,'[2]13_全熱交換器 (新設)'!AA10,""))</f>
        <v/>
      </c>
      <c r="Q43" s="842"/>
      <c r="R43" s="842" t="str">
        <f>IF('[2]13_全熱交換器 (新設)'!AB10&gt;0,'[2]13_全熱交換器 (新設)'!AB10,"")</f>
        <v/>
      </c>
      <c r="S43" s="842"/>
      <c r="T43" s="847" t="str">
        <f>IF(AND(P43="",R43=""),"",P43-R43)</f>
        <v/>
      </c>
      <c r="U43" s="848"/>
      <c r="V43" s="9"/>
      <c r="X43" s="149" t="s">
        <v>187</v>
      </c>
      <c r="Y43" s="60">
        <v>718.7</v>
      </c>
      <c r="Z43" s="188" t="s">
        <v>73</v>
      </c>
      <c r="AA43" s="110"/>
      <c r="AB43" s="35" t="s">
        <v>58</v>
      </c>
      <c r="AC43" s="35" t="s">
        <v>59</v>
      </c>
      <c r="AD43" s="35" t="s">
        <v>60</v>
      </c>
      <c r="AE43" s="35" t="s">
        <v>61</v>
      </c>
      <c r="AF43" s="361" t="s">
        <v>62</v>
      </c>
      <c r="AG43" s="35" t="s">
        <v>63</v>
      </c>
      <c r="AH43" s="35" t="s">
        <v>64</v>
      </c>
      <c r="AI43" s="35" t="s">
        <v>52</v>
      </c>
      <c r="AJ43" s="35"/>
      <c r="AK43" s="35"/>
      <c r="AL43" s="35"/>
      <c r="AM43" s="35"/>
      <c r="AN43" s="35"/>
      <c r="AO43" s="35"/>
      <c r="AP43" s="35"/>
      <c r="AQ43" s="35" t="s">
        <v>84</v>
      </c>
      <c r="AT43" s="856" t="s">
        <v>11</v>
      </c>
      <c r="AU43" s="849"/>
      <c r="AV43" s="849"/>
      <c r="AW43" s="393">
        <f>IF('[2]19_冷却塔（撤去）'!V9&gt;0,'[2]19_冷却塔（撤去）'!V9,IF('[2]8_冷却塔（新設）'!AB9&gt;0,'[2]8_冷却塔（新設）'!AB9,0))</f>
        <v>0</v>
      </c>
      <c r="AX43" s="393">
        <f>IF('[2]8_冷却塔（新設）'!AA9&gt;0,'[2]8_冷却塔（新設）'!AA9,0)</f>
        <v>0</v>
      </c>
      <c r="AY43" s="394"/>
      <c r="AZ43" s="357"/>
      <c r="BA43" s="113" t="s">
        <v>264</v>
      </c>
      <c r="BB43" s="395">
        <f>AV36</f>
        <v>0</v>
      </c>
      <c r="BC43" s="122">
        <f>AX36</f>
        <v>0</v>
      </c>
      <c r="BD43" s="122">
        <f>AZ36</f>
        <v>0</v>
      </c>
      <c r="BE43" s="122">
        <f>BB36</f>
        <v>0</v>
      </c>
      <c r="BF43" s="122">
        <f>BD36</f>
        <v>0</v>
      </c>
      <c r="BG43" s="122">
        <f>BF36</f>
        <v>0</v>
      </c>
      <c r="BH43" s="122">
        <f>BH36</f>
        <v>0</v>
      </c>
      <c r="BI43" s="122">
        <f>BJ36</f>
        <v>0</v>
      </c>
      <c r="BJ43" s="8"/>
      <c r="BK43" s="8"/>
      <c r="BL43" s="8"/>
      <c r="BM43" s="8"/>
      <c r="BN43" s="8"/>
      <c r="BO43" s="8"/>
      <c r="BP43" s="8"/>
    </row>
    <row r="44" spans="1:68" ht="14.25" customHeight="1">
      <c r="A44" s="1"/>
      <c r="B44" s="1"/>
      <c r="C44" s="843" t="s">
        <v>190</v>
      </c>
      <c r="D44" s="843"/>
      <c r="E44" s="867"/>
      <c r="F44" s="360" t="s">
        <v>200</v>
      </c>
      <c r="G44" s="868" t="s">
        <v>15</v>
      </c>
      <c r="H44" s="868"/>
      <c r="I44" s="868"/>
      <c r="J44" s="868"/>
      <c r="K44" s="868"/>
      <c r="L44" s="868"/>
      <c r="M44" s="868"/>
      <c r="N44" s="868"/>
      <c r="O44" s="868"/>
      <c r="P44" s="869" t="str">
        <f>IF('[2]24_照明 (撤去) '!U9&gt;0,'[2]24_照明 (撤去) '!U9,IF('[2]14_照明 (新設)'!X3&gt;0,'[2]14_照明 (新設)'!X3,""))</f>
        <v/>
      </c>
      <c r="Q44" s="870"/>
      <c r="R44" s="869" t="str">
        <f>IF('[2]14_照明 (新設)'!W3&gt;0,'[2]14_照明 (新設)'!W3,"")</f>
        <v/>
      </c>
      <c r="S44" s="870"/>
      <c r="T44" s="847" t="str">
        <f>IF(AND(P44="",R44=""),"",IF(T45="",P44-R44,P44-R44-T45))</f>
        <v/>
      </c>
      <c r="U44" s="873"/>
      <c r="V44" s="9"/>
      <c r="X44" s="150" t="s">
        <v>36</v>
      </c>
      <c r="Y44" s="60">
        <v>125.2</v>
      </c>
      <c r="Z44" s="188" t="s">
        <v>74</v>
      </c>
      <c r="AA44" s="108"/>
      <c r="AB44" s="157" t="e">
        <f>VLOOKUP($AE$16,$AA$22:$AH$29,2,FALSE)</f>
        <v>#N/A</v>
      </c>
      <c r="AC44" s="157" t="e">
        <f>VLOOKUP($AE$16,$AA$22:$AH$29,3,FALSE)</f>
        <v>#N/A</v>
      </c>
      <c r="AD44" s="157" t="e">
        <f>VLOOKUP($AE$16,$AA$22:$AH$29,4,FALSE)</f>
        <v>#N/A</v>
      </c>
      <c r="AE44" s="157" t="e">
        <f>VLOOKUP($AE$16,$AA$22:$AH$29,5,FALSE)</f>
        <v>#N/A</v>
      </c>
      <c r="AF44" s="157" t="e">
        <f>VLOOKUP($AE$16,$AA$22:$AH$29,6,FALSE)</f>
        <v>#N/A</v>
      </c>
      <c r="AG44" s="157" t="e">
        <f>VLOOKUP($AE$16,$AA$22:$AH$29,7,FALSE)</f>
        <v>#N/A</v>
      </c>
      <c r="AH44" s="157" t="e">
        <f>VLOOKUP($AE$16,$AA$22:$AH$29,8,FALSE)</f>
        <v>#N/A</v>
      </c>
      <c r="AI44" s="157" t="e">
        <f>VLOOKUP(AE16,AA22:AR29,18,FALSE)</f>
        <v>#N/A</v>
      </c>
      <c r="AJ44" s="157"/>
      <c r="AK44" s="157"/>
      <c r="AL44" s="157"/>
      <c r="AM44" s="157"/>
      <c r="AN44" s="157"/>
      <c r="AO44" s="157"/>
      <c r="AP44" s="157"/>
      <c r="AQ44" s="157" t="e">
        <f>VLOOKUP(AE16,AA22:AQ29,17,FALSE)</f>
        <v>#N/A</v>
      </c>
      <c r="AT44" s="856" t="s">
        <v>12</v>
      </c>
      <c r="AU44" s="849"/>
      <c r="AV44" s="849"/>
      <c r="AW44" s="874">
        <f>IF('[2]20_空調用ポンプ (撤去)'!V9&gt;0,'[2]20_空調用ポンプ (撤去)'!V9,IF('[2]9_空調用ポンプ（新設）'!AH9&gt;0,'[2]9_空調用ポンプ（新設）'!AH9,0))</f>
        <v>0</v>
      </c>
      <c r="AX44" s="874">
        <f>IF('[2]9_空調用ポンプ（新設）'!AG9&gt;0,'[2]9_空調用ポンプ（新設）'!AG9,0)</f>
        <v>0</v>
      </c>
      <c r="AY44" s="394"/>
      <c r="AZ44" s="357"/>
      <c r="BA44" s="357"/>
      <c r="BB44" s="357"/>
      <c r="BC44" s="8"/>
      <c r="BD44" s="8"/>
      <c r="BE44" s="8"/>
      <c r="BF44" s="8"/>
      <c r="BG44" s="8"/>
      <c r="BH44" s="8"/>
      <c r="BI44" s="8"/>
      <c r="BJ44" s="8"/>
      <c r="BK44" s="8"/>
      <c r="BL44" s="8"/>
      <c r="BM44" s="8"/>
      <c r="BN44" s="8"/>
      <c r="BO44" s="8"/>
      <c r="BP44" s="8"/>
    </row>
    <row r="45" spans="1:68" ht="14.25" customHeight="1">
      <c r="A45" s="1"/>
      <c r="B45" s="1"/>
      <c r="C45" s="867"/>
      <c r="D45" s="867"/>
      <c r="E45" s="867"/>
      <c r="F45" s="360" t="s">
        <v>201</v>
      </c>
      <c r="G45" s="875" t="s">
        <v>16</v>
      </c>
      <c r="H45" s="876"/>
      <c r="I45" s="876"/>
      <c r="J45" s="876"/>
      <c r="K45" s="876"/>
      <c r="L45" s="876"/>
      <c r="M45" s="876"/>
      <c r="N45" s="876"/>
      <c r="O45" s="877"/>
      <c r="P45" s="871"/>
      <c r="Q45" s="872"/>
      <c r="R45" s="871"/>
      <c r="S45" s="872"/>
      <c r="T45" s="847" t="str">
        <f>IF('[2]14_照明 (新設)'!W5&gt;0,'[2]14_照明 (新設)'!W5,"")</f>
        <v/>
      </c>
      <c r="U45" s="848"/>
      <c r="V45" s="9"/>
      <c r="X45" s="150" t="s">
        <v>37</v>
      </c>
      <c r="Y45" s="60">
        <v>23.4</v>
      </c>
      <c r="Z45" s="188" t="s">
        <v>75</v>
      </c>
      <c r="AT45" s="856" t="s">
        <v>216</v>
      </c>
      <c r="AU45" s="849"/>
      <c r="AV45" s="849"/>
      <c r="AW45" s="874"/>
      <c r="AX45" s="874"/>
      <c r="AY45" s="394"/>
      <c r="AZ45" s="357"/>
      <c r="BA45" s="357"/>
      <c r="BB45" s="357"/>
      <c r="BC45" s="8"/>
      <c r="BD45" s="8"/>
      <c r="BE45" s="8"/>
      <c r="BF45" s="8"/>
    </row>
    <row r="46" spans="1:68" ht="14.25" customHeight="1">
      <c r="A46" s="1"/>
      <c r="B46" s="1"/>
      <c r="C46" s="867"/>
      <c r="D46" s="867"/>
      <c r="E46" s="867"/>
      <c r="F46" s="360" t="s">
        <v>202</v>
      </c>
      <c r="G46" s="852" t="s">
        <v>17</v>
      </c>
      <c r="H46" s="853"/>
      <c r="I46" s="853"/>
      <c r="J46" s="853"/>
      <c r="K46" s="853"/>
      <c r="L46" s="853"/>
      <c r="M46" s="853"/>
      <c r="N46" s="853"/>
      <c r="O46" s="854"/>
      <c r="P46" s="861" t="str">
        <f>IF('[2]15_誘導灯（更新）'!M5&gt;0,'[2]15_誘導灯（更新）'!M5,"")</f>
        <v/>
      </c>
      <c r="Q46" s="861"/>
      <c r="R46" s="842" t="str">
        <f>IF('[2]15_誘導灯（更新）'!L5&gt;0,'[2]15_誘導灯（更新）'!L5,"")</f>
        <v/>
      </c>
      <c r="S46" s="842"/>
      <c r="T46" s="847" t="str">
        <f>IF(AND(P46="",R46=""),"",P46-R46)</f>
        <v/>
      </c>
      <c r="U46" s="848"/>
      <c r="V46" s="9"/>
      <c r="X46" s="150" t="s">
        <v>38</v>
      </c>
      <c r="Y46" s="60">
        <v>106</v>
      </c>
      <c r="Z46" s="188" t="s">
        <v>76</v>
      </c>
      <c r="AT46" s="856" t="s">
        <v>153</v>
      </c>
      <c r="AU46" s="849"/>
      <c r="AV46" s="849"/>
      <c r="AW46" s="393" t="str">
        <f>IF('[2]10_パッケージ (新設)'!G9="○",'[2]10_パッケージ (新設)'!BD11,IF('[2]21_パッケージ (撤去) '!Z9&gt;0,'[2]21_パッケージ (撤去) '!Z9,IF('[2]10_パッケージ (新設)'!AE9&gt;0,'[2]10_パッケージ (新設)'!AE9,"")))</f>
        <v/>
      </c>
      <c r="AX46" s="393" t="str">
        <f>IF('[2]10_パッケージ (新設)'!AD9&gt;0,'[2]10_パッケージ (新設)'!AD9,"")</f>
        <v/>
      </c>
      <c r="AY46" s="394"/>
      <c r="AZ46" s="357"/>
      <c r="BA46" s="357"/>
      <c r="BB46" s="357"/>
      <c r="BC46" s="8"/>
      <c r="BD46" s="8"/>
      <c r="BE46" s="8"/>
      <c r="BF46" s="8"/>
    </row>
    <row r="47" spans="1:68" ht="14.25" customHeight="1" thickBot="1">
      <c r="A47" s="1"/>
      <c r="B47" s="1"/>
      <c r="C47" s="867"/>
      <c r="D47" s="867"/>
      <c r="E47" s="867"/>
      <c r="F47" s="360" t="s">
        <v>203</v>
      </c>
      <c r="G47" s="852" t="s">
        <v>18</v>
      </c>
      <c r="H47" s="853"/>
      <c r="I47" s="853"/>
      <c r="J47" s="853"/>
      <c r="K47" s="853"/>
      <c r="L47" s="853"/>
      <c r="M47" s="853"/>
      <c r="N47" s="853"/>
      <c r="O47" s="854"/>
      <c r="P47" s="878" t="str">
        <f>IF('[2]25_変圧器（撤去） '!L6&gt;0,'[2]25_変圧器（撤去） '!L6,IF('[2]16_変圧器（新設）'!O5&gt;0,'[2]16_変圧器（新設）'!O5,""))</f>
        <v/>
      </c>
      <c r="Q47" s="878"/>
      <c r="R47" s="842" t="str">
        <f>IF('[2]16_変圧器（新設）'!N5&gt;0,'[2]16_変圧器（新設）'!N5,"")</f>
        <v/>
      </c>
      <c r="S47" s="842"/>
      <c r="T47" s="847" t="str">
        <f>IF(AND(P47="",R47=""),"",P47-R47)</f>
        <v/>
      </c>
      <c r="U47" s="848"/>
      <c r="V47" s="9"/>
      <c r="X47" s="150" t="s">
        <v>39</v>
      </c>
      <c r="Y47" s="60">
        <v>57.1</v>
      </c>
      <c r="Z47" s="188" t="s">
        <v>76</v>
      </c>
      <c r="AA47" s="44"/>
      <c r="AT47" s="856" t="s">
        <v>13</v>
      </c>
      <c r="AU47" s="849"/>
      <c r="AV47" s="849"/>
      <c r="AW47" s="393">
        <f>IF('[2]22_空調機（撤去）'!R9&gt;0,'[2]22_空調機（撤去）'!R9,IF('[2]11_空調機（新設）'!W9&gt;0,'[2]11_空調機（新設）'!W9,0))</f>
        <v>0</v>
      </c>
      <c r="AX47" s="393">
        <f>IF('[2]11_空調機（新設）'!V9&gt;0,'[2]11_空調機（新設）'!V9,0)</f>
        <v>0</v>
      </c>
      <c r="AY47" s="394"/>
      <c r="AZ47" s="357"/>
      <c r="BA47" s="357"/>
      <c r="BB47" s="357"/>
      <c r="BC47" s="8"/>
      <c r="BD47" s="8"/>
    </row>
    <row r="48" spans="1:68" ht="14.25" customHeight="1">
      <c r="A48" s="1"/>
      <c r="B48" s="1"/>
      <c r="C48" s="867" t="s">
        <v>191</v>
      </c>
      <c r="D48" s="867"/>
      <c r="E48" s="867"/>
      <c r="F48" s="360" t="s">
        <v>204</v>
      </c>
      <c r="G48" s="852" t="s">
        <v>19</v>
      </c>
      <c r="H48" s="853"/>
      <c r="I48" s="853"/>
      <c r="J48" s="853"/>
      <c r="K48" s="853"/>
      <c r="L48" s="853"/>
      <c r="M48" s="853"/>
      <c r="N48" s="853"/>
      <c r="O48" s="854"/>
      <c r="P48" s="855"/>
      <c r="Q48" s="855"/>
      <c r="R48" s="855"/>
      <c r="S48" s="855"/>
      <c r="T48" s="847" t="str">
        <f>IF('[2]17_エレベーター制御（新設）'!M12&gt;0,'[2]17_エレベーター制御（新設）'!M12,"")</f>
        <v/>
      </c>
      <c r="U48" s="848"/>
      <c r="V48" s="9"/>
      <c r="X48" s="150" t="s">
        <v>40</v>
      </c>
      <c r="Y48" s="60">
        <v>72.599999999999994</v>
      </c>
      <c r="Z48" s="188" t="s">
        <v>76</v>
      </c>
      <c r="AA48" s="194" t="s">
        <v>98</v>
      </c>
      <c r="AB48" s="195" t="e">
        <f>IF($T$30="",AB32,AB31)</f>
        <v>#DIV/0!</v>
      </c>
      <c r="AC48" s="195" t="e">
        <f>IF($T$30="",AC32,AC31)</f>
        <v>#DIV/0!</v>
      </c>
      <c r="AD48" s="195" t="e">
        <f>IF($T$30="",AD32,AD31)</f>
        <v>#DIV/0!</v>
      </c>
      <c r="AE48" s="195" t="e">
        <f>IF($T$30="",AE32,AE31)</f>
        <v>#DIV/0!</v>
      </c>
      <c r="AF48" s="196" t="e">
        <f>IF($T$30="",AF32,AF31)</f>
        <v>#DIV/0!</v>
      </c>
      <c r="AG48" s="8"/>
      <c r="AH48" s="8"/>
      <c r="AT48" s="879" t="s">
        <v>14</v>
      </c>
      <c r="AU48" s="868"/>
      <c r="AV48" s="868"/>
      <c r="AW48" s="397"/>
      <c r="AX48" s="397"/>
      <c r="AY48" s="398">
        <f>IF('[2]12_空調制御（新設）'!W7&gt;0,'[2]12_空調制御（新設）'!W7,0)</f>
        <v>0</v>
      </c>
      <c r="AZ48" s="23"/>
      <c r="BA48" s="23"/>
      <c r="BB48" s="23"/>
      <c r="BC48" s="8"/>
      <c r="BD48" s="8"/>
    </row>
    <row r="49" spans="1:56" ht="14.25" customHeight="1" thickBot="1">
      <c r="A49" s="1"/>
      <c r="B49" s="1"/>
      <c r="C49" s="867"/>
      <c r="D49" s="867"/>
      <c r="E49" s="867"/>
      <c r="F49" s="360" t="s">
        <v>205</v>
      </c>
      <c r="G49" s="852" t="s">
        <v>79</v>
      </c>
      <c r="H49" s="853"/>
      <c r="I49" s="853"/>
      <c r="J49" s="853"/>
      <c r="K49" s="853"/>
      <c r="L49" s="853"/>
      <c r="M49" s="853"/>
      <c r="N49" s="853"/>
      <c r="O49" s="854"/>
      <c r="P49" s="855"/>
      <c r="Q49" s="855"/>
      <c r="R49" s="855"/>
      <c r="S49" s="855"/>
      <c r="T49" s="880"/>
      <c r="U49" s="880"/>
      <c r="V49" s="9"/>
      <c r="X49" s="150" t="s">
        <v>41</v>
      </c>
      <c r="Y49" s="60">
        <v>203.5</v>
      </c>
      <c r="Z49" s="188" t="s">
        <v>77</v>
      </c>
      <c r="AA49" s="197" t="s">
        <v>247</v>
      </c>
      <c r="AB49" s="198" t="e">
        <f>IF($T$30="",AB44,AB30)</f>
        <v>#DIV/0!</v>
      </c>
      <c r="AC49" s="198" t="e">
        <f>IF($T$30="",AC44,AC30)</f>
        <v>#DIV/0!</v>
      </c>
      <c r="AD49" s="198" t="e">
        <f>IF($T$30="",AD44,AD30)</f>
        <v>#DIV/0!</v>
      </c>
      <c r="AE49" s="198" t="e">
        <f>IF($T$30="",AE44,AE30)</f>
        <v>#DIV/0!</v>
      </c>
      <c r="AF49" s="199" t="e">
        <f>IF($T$30="",AF44,AF30)</f>
        <v>#DIV/0!</v>
      </c>
      <c r="AG49" s="58"/>
      <c r="AH49" s="58"/>
      <c r="AT49" s="879" t="s">
        <v>56</v>
      </c>
      <c r="AU49" s="868"/>
      <c r="AV49" s="868"/>
      <c r="AW49" s="397">
        <f>IF('[2]23_全熱交換器 (撤去) '!Z10&gt;0,'[2]23_全熱交換器 (撤去) '!Z10,IF('[2]13_全熱交換器 (新設)'!AA6&gt;0,'[2]13_全熱交換器 (新設)'!AA6,0))</f>
        <v>0</v>
      </c>
      <c r="AX49" s="397">
        <f>IF('[2]13_全熱交換器 (新設)'!AB6&gt;0,'[2]13_全熱交換器 (新設)'!AB6,0)</f>
        <v>0</v>
      </c>
      <c r="AY49" s="398"/>
      <c r="AZ49" s="23"/>
      <c r="BA49" s="23"/>
      <c r="BB49" s="23"/>
      <c r="BC49" s="8"/>
      <c r="BD49" s="8"/>
    </row>
    <row r="50" spans="1:56" ht="14.25" customHeight="1">
      <c r="A50" s="1"/>
      <c r="B50" s="1"/>
      <c r="C50" s="867"/>
      <c r="D50" s="867"/>
      <c r="E50" s="867"/>
      <c r="F50" s="360" t="s">
        <v>206</v>
      </c>
      <c r="G50" s="852" t="s">
        <v>81</v>
      </c>
      <c r="H50" s="853"/>
      <c r="I50" s="853"/>
      <c r="J50" s="853"/>
      <c r="K50" s="853"/>
      <c r="L50" s="853"/>
      <c r="M50" s="853"/>
      <c r="N50" s="853"/>
      <c r="O50" s="854"/>
      <c r="P50" s="855"/>
      <c r="Q50" s="855"/>
      <c r="R50" s="855"/>
      <c r="S50" s="855"/>
      <c r="T50" s="880"/>
      <c r="U50" s="880"/>
      <c r="V50" s="9"/>
      <c r="X50" s="150" t="s">
        <v>42</v>
      </c>
      <c r="Y50" s="60">
        <v>287.10000000000002</v>
      </c>
      <c r="Z50" s="188" t="s">
        <v>77</v>
      </c>
      <c r="AT50" s="879" t="s">
        <v>15</v>
      </c>
      <c r="AU50" s="868"/>
      <c r="AV50" s="868"/>
      <c r="AW50" s="882">
        <f>IF('[2]24_照明 (撤去) '!U6&gt;0,'[2]24_照明 (撤去) '!U6,IF('[2]14_照明 (新設)'!X8&gt;0,'[2]14_照明 (新設)'!X8,0))</f>
        <v>0</v>
      </c>
      <c r="AX50" s="882">
        <f>IF('[2]14_照明 (新設)'!W8&gt;0,'[2]14_照明 (新設)'!W8,0)</f>
        <v>0</v>
      </c>
      <c r="AY50" s="398"/>
      <c r="AZ50" s="23"/>
      <c r="BA50" s="23"/>
      <c r="BB50" s="23"/>
      <c r="BC50" s="8"/>
      <c r="BD50" s="8"/>
    </row>
    <row r="51" spans="1:56" ht="14.25" customHeight="1">
      <c r="A51" s="1"/>
      <c r="B51" s="1"/>
      <c r="C51" s="867"/>
      <c r="D51" s="867"/>
      <c r="E51" s="867"/>
      <c r="F51" s="360" t="s">
        <v>207</v>
      </c>
      <c r="G51" s="852" t="s">
        <v>80</v>
      </c>
      <c r="H51" s="853"/>
      <c r="I51" s="853"/>
      <c r="J51" s="853"/>
      <c r="K51" s="853"/>
      <c r="L51" s="853"/>
      <c r="M51" s="853"/>
      <c r="N51" s="853"/>
      <c r="O51" s="854"/>
      <c r="P51" s="855"/>
      <c r="Q51" s="855"/>
      <c r="R51" s="855"/>
      <c r="S51" s="855"/>
      <c r="T51" s="880"/>
      <c r="U51" s="880"/>
      <c r="V51" s="9"/>
      <c r="X51" s="150" t="s">
        <v>43</v>
      </c>
      <c r="Y51" s="60">
        <v>252.1</v>
      </c>
      <c r="Z51" s="188" t="s">
        <v>77</v>
      </c>
      <c r="AT51" s="879" t="s">
        <v>16</v>
      </c>
      <c r="AU51" s="868"/>
      <c r="AV51" s="868"/>
      <c r="AW51" s="882"/>
      <c r="AX51" s="882"/>
      <c r="AY51" s="398"/>
      <c r="AZ51" s="23"/>
      <c r="BA51" s="23"/>
      <c r="BB51" s="23"/>
      <c r="BC51" s="8"/>
      <c r="BD51" s="8"/>
    </row>
    <row r="52" spans="1:56" ht="14.25" customHeight="1">
      <c r="A52" s="1"/>
      <c r="B52" s="1"/>
      <c r="C52" s="867"/>
      <c r="D52" s="867"/>
      <c r="E52" s="867"/>
      <c r="F52" s="360" t="s">
        <v>208</v>
      </c>
      <c r="G52" s="852" t="s">
        <v>82</v>
      </c>
      <c r="H52" s="853"/>
      <c r="I52" s="853"/>
      <c r="J52" s="853"/>
      <c r="K52" s="853"/>
      <c r="L52" s="853"/>
      <c r="M52" s="853"/>
      <c r="N52" s="853"/>
      <c r="O52" s="854"/>
      <c r="P52" s="855"/>
      <c r="Q52" s="855"/>
      <c r="R52" s="855"/>
      <c r="S52" s="855"/>
      <c r="T52" s="880"/>
      <c r="U52" s="880"/>
      <c r="V52" s="9"/>
      <c r="X52" s="150" t="s">
        <v>44</v>
      </c>
      <c r="Y52" s="60">
        <v>333.9</v>
      </c>
      <c r="Z52" s="188" t="s">
        <v>77</v>
      </c>
      <c r="AT52" s="879" t="s">
        <v>17</v>
      </c>
      <c r="AU52" s="868"/>
      <c r="AV52" s="868"/>
      <c r="AW52" s="397">
        <f>IF('[2]15_誘導灯（更新）'!M7&gt;0,'[2]15_誘導灯（更新）'!M7,0)</f>
        <v>0</v>
      </c>
      <c r="AX52" s="397">
        <f>IF('[2]15_誘導灯（更新）'!L7&gt;0,'[2]15_誘導灯（更新）'!L7,0)</f>
        <v>0</v>
      </c>
      <c r="AY52" s="398"/>
      <c r="AZ52" s="23"/>
      <c r="BA52" s="23"/>
      <c r="BB52" s="23"/>
      <c r="BC52" s="8"/>
      <c r="BD52" s="8"/>
    </row>
    <row r="53" spans="1:56" ht="14.25" customHeight="1">
      <c r="A53" s="1"/>
      <c r="B53" s="1"/>
      <c r="C53" s="867"/>
      <c r="D53" s="867"/>
      <c r="E53" s="867"/>
      <c r="F53" s="360" t="s">
        <v>209</v>
      </c>
      <c r="G53" s="852" t="s">
        <v>83</v>
      </c>
      <c r="H53" s="853"/>
      <c r="I53" s="853"/>
      <c r="J53" s="853"/>
      <c r="K53" s="853"/>
      <c r="L53" s="853"/>
      <c r="M53" s="853"/>
      <c r="N53" s="853"/>
      <c r="O53" s="854"/>
      <c r="P53" s="855"/>
      <c r="Q53" s="881"/>
      <c r="R53" s="855"/>
      <c r="S53" s="855"/>
      <c r="T53" s="883"/>
      <c r="U53" s="883"/>
      <c r="V53" s="9"/>
      <c r="X53" s="150" t="s">
        <v>89</v>
      </c>
      <c r="Y53" s="60">
        <v>64.3</v>
      </c>
      <c r="Z53" s="188" t="s">
        <v>77</v>
      </c>
      <c r="AT53" s="879" t="s">
        <v>18</v>
      </c>
      <c r="AU53" s="868"/>
      <c r="AV53" s="868"/>
      <c r="AW53" s="397">
        <f>IF('[2]25_変圧器（撤去） '!M6&gt;0,'[2]25_変圧器（撤去） '!M6,IF('[2]16_変圧器（新設）'!O6&gt;0,'[2]16_変圧器（新設）'!O6,0))</f>
        <v>0</v>
      </c>
      <c r="AX53" s="397">
        <f>IF('[2]16_変圧器（新設）'!N6&gt;0,'[2]16_変圧器（新設）'!N6,0)</f>
        <v>0</v>
      </c>
      <c r="AY53" s="398"/>
      <c r="AZ53" s="23"/>
      <c r="BA53" s="23"/>
      <c r="BB53" s="23"/>
      <c r="BC53" s="8"/>
      <c r="BD53" s="8"/>
    </row>
    <row r="54" spans="1:56" ht="14.25" customHeight="1">
      <c r="A54" s="1"/>
      <c r="B54" s="1"/>
      <c r="C54" s="33"/>
      <c r="D54" s="33"/>
      <c r="E54" s="33"/>
      <c r="F54" s="23"/>
      <c r="G54" s="33"/>
      <c r="H54" s="33"/>
      <c r="I54" s="33"/>
      <c r="J54" s="33"/>
      <c r="K54" s="33"/>
      <c r="L54" s="33"/>
      <c r="M54" s="33"/>
      <c r="N54" s="33"/>
      <c r="O54" s="33"/>
      <c r="P54" s="33"/>
      <c r="Q54" s="33"/>
      <c r="R54" s="23"/>
      <c r="S54" s="130" t="s">
        <v>85</v>
      </c>
      <c r="T54" s="865" t="str">
        <f>IF(SUM(T36:U53)=0,"",SUM(T36:U53))</f>
        <v/>
      </c>
      <c r="U54" s="891"/>
      <c r="V54" s="9"/>
      <c r="X54" s="150" t="s">
        <v>90</v>
      </c>
      <c r="Y54" s="60">
        <v>69.3</v>
      </c>
      <c r="Z54" s="188" t="s">
        <v>77</v>
      </c>
      <c r="AT54" s="879" t="s">
        <v>19</v>
      </c>
      <c r="AU54" s="868"/>
      <c r="AV54" s="868"/>
      <c r="AW54" s="397"/>
      <c r="AX54" s="397"/>
      <c r="AY54" s="398">
        <f>IF('[2]17_エレベーター制御（新設）'!N12&gt;0,'[2]17_エレベーター制御（新設）'!N12,0)</f>
        <v>0</v>
      </c>
      <c r="AZ54" s="23"/>
      <c r="BA54" s="23"/>
      <c r="BB54" s="23"/>
      <c r="BC54" s="8"/>
      <c r="BD54" s="8"/>
    </row>
    <row r="55" spans="1:56" ht="14.25" customHeight="1" thickBot="1">
      <c r="A55" s="1"/>
      <c r="B55" s="1"/>
      <c r="C55" s="10" t="s">
        <v>146</v>
      </c>
      <c r="D55" s="10"/>
      <c r="E55" s="8"/>
      <c r="F55" s="23"/>
      <c r="G55" s="80"/>
      <c r="H55" s="80"/>
      <c r="I55" s="80"/>
      <c r="J55" s="80"/>
      <c r="K55" s="8"/>
      <c r="L55" s="80"/>
      <c r="M55" s="41"/>
      <c r="N55" s="41"/>
      <c r="O55" s="41"/>
      <c r="P55" s="8"/>
      <c r="Q55" s="8"/>
      <c r="R55" s="8"/>
      <c r="S55" s="8"/>
      <c r="T55" s="8"/>
      <c r="U55" s="8"/>
      <c r="V55" s="9"/>
      <c r="X55" s="192" t="s">
        <v>91</v>
      </c>
      <c r="Y55" s="417">
        <v>54.6</v>
      </c>
      <c r="Z55" s="190" t="s">
        <v>5</v>
      </c>
      <c r="AT55" s="879" t="s">
        <v>79</v>
      </c>
      <c r="AU55" s="868"/>
      <c r="AV55" s="868"/>
      <c r="AW55" s="397"/>
      <c r="AX55" s="397"/>
      <c r="AY55" s="398" t="str">
        <f>IF(T49="","",T49/0.382*1000*9.76)</f>
        <v/>
      </c>
      <c r="AZ55" s="23"/>
      <c r="BA55" s="23"/>
      <c r="BB55" s="23"/>
      <c r="BC55" s="8"/>
      <c r="BD55" s="8"/>
    </row>
    <row r="56" spans="1:56" ht="6.75" customHeight="1">
      <c r="A56" s="1"/>
      <c r="B56" s="1"/>
      <c r="C56" s="10"/>
      <c r="D56" s="10"/>
      <c r="E56" s="8"/>
      <c r="F56" s="23"/>
      <c r="G56" s="80"/>
      <c r="H56" s="80"/>
      <c r="I56" s="80"/>
      <c r="J56" s="80"/>
      <c r="K56" s="8"/>
      <c r="L56" s="80"/>
      <c r="M56" s="41"/>
      <c r="N56" s="41"/>
      <c r="O56" s="41"/>
      <c r="P56" s="8"/>
      <c r="Q56" s="8"/>
      <c r="R56" s="8"/>
      <c r="S56" s="8"/>
      <c r="T56" s="8"/>
      <c r="U56" s="8"/>
      <c r="V56" s="9"/>
      <c r="X56" s="18"/>
      <c r="Y56" s="45"/>
      <c r="Z56" s="32"/>
      <c r="AT56" s="879" t="s">
        <v>81</v>
      </c>
      <c r="AU56" s="868"/>
      <c r="AV56" s="868"/>
      <c r="AW56" s="397"/>
      <c r="AX56" s="397"/>
      <c r="AY56" s="398" t="str">
        <f>IF(T50="","",T50/0.382*1000*9.76)</f>
        <v/>
      </c>
      <c r="AZ56" s="23"/>
      <c r="BA56" s="23"/>
      <c r="BB56" s="23"/>
      <c r="BC56" s="8"/>
      <c r="BD56" s="8"/>
    </row>
    <row r="57" spans="1:56" ht="14.25" customHeight="1">
      <c r="A57" s="1"/>
      <c r="B57" s="1"/>
      <c r="C57" s="91"/>
      <c r="D57" s="92"/>
      <c r="E57" s="93"/>
      <c r="F57" s="27"/>
      <c r="G57" s="94"/>
      <c r="H57" s="95"/>
      <c r="I57" s="95"/>
      <c r="J57" s="95"/>
      <c r="K57" s="892" t="s">
        <v>148</v>
      </c>
      <c r="L57" s="892"/>
      <c r="M57" s="892"/>
      <c r="N57" s="892"/>
      <c r="O57" s="892"/>
      <c r="P57" s="892"/>
      <c r="Q57" s="892" t="s">
        <v>211</v>
      </c>
      <c r="R57" s="892"/>
      <c r="S57" s="892"/>
      <c r="T57" s="892"/>
      <c r="U57" s="894"/>
      <c r="V57" s="9"/>
      <c r="X57" s="18"/>
      <c r="Y57" s="45"/>
      <c r="Z57" s="32"/>
      <c r="AT57" s="879" t="s">
        <v>80</v>
      </c>
      <c r="AU57" s="868"/>
      <c r="AV57" s="868"/>
      <c r="AW57" s="397"/>
      <c r="AX57" s="397"/>
      <c r="AY57" s="398" t="str">
        <f>IF(T51="","",T51/0.382*1000*9.76)</f>
        <v/>
      </c>
      <c r="AZ57" s="23"/>
      <c r="BA57" s="23"/>
      <c r="BB57" s="23"/>
      <c r="BC57" s="8"/>
      <c r="BD57" s="8"/>
    </row>
    <row r="58" spans="1:56" ht="14.25" customHeight="1">
      <c r="A58" s="1"/>
      <c r="B58" s="1"/>
      <c r="C58" s="85"/>
      <c r="D58" s="75" t="s">
        <v>152</v>
      </c>
      <c r="E58" s="73"/>
      <c r="F58" s="249" t="str">
        <f>IF(G18="","",HLOOKUP(G18-1,'[2]6_テナント入居率'!T10:AA11,2))</f>
        <v/>
      </c>
      <c r="G58" s="124"/>
      <c r="H58" s="125"/>
      <c r="I58" s="125"/>
      <c r="J58" s="125"/>
      <c r="K58" s="893"/>
      <c r="L58" s="893"/>
      <c r="M58" s="893"/>
      <c r="N58" s="893"/>
      <c r="O58" s="893"/>
      <c r="P58" s="893"/>
      <c r="Q58" s="893"/>
      <c r="R58" s="893"/>
      <c r="S58" s="893"/>
      <c r="T58" s="893"/>
      <c r="U58" s="895"/>
      <c r="V58" s="9"/>
      <c r="X58" s="18"/>
      <c r="Y58" s="45"/>
      <c r="Z58" s="32"/>
      <c r="AT58" s="879" t="s">
        <v>82</v>
      </c>
      <c r="AU58" s="868"/>
      <c r="AV58" s="868"/>
      <c r="AW58" s="397"/>
      <c r="AX58" s="397"/>
      <c r="AY58" s="398" t="str">
        <f>IF(T52="","",T52/0.382*1000*9.76)</f>
        <v/>
      </c>
      <c r="AZ58" s="23"/>
      <c r="BA58" s="23"/>
      <c r="BB58" s="23"/>
      <c r="BC58" s="8"/>
      <c r="BD58" s="8"/>
    </row>
    <row r="59" spans="1:56" ht="14.25" customHeight="1">
      <c r="A59" s="1"/>
      <c r="B59" s="1"/>
      <c r="C59" s="76"/>
      <c r="D59" s="884" t="s">
        <v>219</v>
      </c>
      <c r="E59" s="885"/>
      <c r="F59" s="885"/>
      <c r="G59" s="885"/>
      <c r="H59" s="885"/>
      <c r="I59" s="885"/>
      <c r="J59" s="885"/>
      <c r="K59" s="115"/>
      <c r="L59" s="115"/>
      <c r="M59" s="886" t="e">
        <f>100-Y64/X64*100</f>
        <v>#VALUE!</v>
      </c>
      <c r="N59" s="887" t="s">
        <v>147</v>
      </c>
      <c r="O59" s="888"/>
      <c r="P59" s="888"/>
      <c r="Q59" s="96"/>
      <c r="R59" s="886" t="e">
        <f>100-Y71/X71*100</f>
        <v>#VALUE!</v>
      </c>
      <c r="S59" s="886"/>
      <c r="T59" s="126"/>
      <c r="U59" s="97"/>
      <c r="V59" s="9"/>
      <c r="X59" s="18"/>
      <c r="Y59" s="45"/>
      <c r="Z59" s="32"/>
      <c r="AT59" s="879" t="s">
        <v>83</v>
      </c>
      <c r="AU59" s="868"/>
      <c r="AV59" s="868"/>
      <c r="AW59" s="397"/>
      <c r="AX59" s="397"/>
      <c r="AY59" s="398" t="str">
        <f>IF(T53="","",T53/0.382*1000*9.76)</f>
        <v/>
      </c>
      <c r="AZ59" s="23" t="s">
        <v>243</v>
      </c>
      <c r="BA59" s="23"/>
      <c r="BB59" s="23"/>
      <c r="BC59" s="8"/>
      <c r="BD59" s="8"/>
    </row>
    <row r="60" spans="1:56" ht="14.25" customHeight="1" thickBot="1">
      <c r="A60" s="1"/>
      <c r="B60" s="1"/>
      <c r="C60" s="76"/>
      <c r="D60" s="885"/>
      <c r="E60" s="885"/>
      <c r="F60" s="885"/>
      <c r="G60" s="885"/>
      <c r="H60" s="885"/>
      <c r="I60" s="885"/>
      <c r="J60" s="885"/>
      <c r="K60" s="96"/>
      <c r="L60" s="96"/>
      <c r="M60" s="886"/>
      <c r="N60" s="887"/>
      <c r="O60" s="888"/>
      <c r="P60" s="888"/>
      <c r="Q60" s="161"/>
      <c r="R60" s="886"/>
      <c r="S60" s="886"/>
      <c r="T60" s="89" t="s">
        <v>147</v>
      </c>
      <c r="U60" s="114"/>
      <c r="V60" s="9"/>
      <c r="X60" s="18"/>
      <c r="Y60" s="45"/>
      <c r="Z60" s="32"/>
      <c r="AT60" s="889" t="s">
        <v>85</v>
      </c>
      <c r="AU60" s="890"/>
      <c r="AV60" s="890"/>
      <c r="AW60" s="399">
        <f>SUM(AW42:AW59)</f>
        <v>0</v>
      </c>
      <c r="AX60" s="399">
        <f>SUM(AX42:AX59)</f>
        <v>0</v>
      </c>
      <c r="AY60" s="400">
        <f>SUM(AY42:AY59)</f>
        <v>0</v>
      </c>
      <c r="AZ60" s="162">
        <f>AW60-AX60+AY60</f>
        <v>0</v>
      </c>
    </row>
    <row r="61" spans="1:56" ht="14.25" customHeight="1">
      <c r="A61" s="1"/>
      <c r="B61" s="1"/>
      <c r="C61" s="76"/>
      <c r="D61" s="898" t="s">
        <v>150</v>
      </c>
      <c r="E61" s="899"/>
      <c r="F61" s="899"/>
      <c r="G61" s="8"/>
      <c r="H61" s="900" t="s">
        <v>569</v>
      </c>
      <c r="I61" s="900"/>
      <c r="J61" s="900"/>
      <c r="K61" s="96"/>
      <c r="L61" s="96"/>
      <c r="M61" s="8"/>
      <c r="N61" s="8"/>
      <c r="O61" s="96"/>
      <c r="P61" s="96"/>
      <c r="Q61" s="161"/>
      <c r="R61" s="161"/>
      <c r="S61" s="96"/>
      <c r="T61" s="8"/>
      <c r="U61" s="9"/>
      <c r="V61" s="9"/>
      <c r="X61" s="18"/>
      <c r="Y61" s="45"/>
      <c r="Z61" s="32"/>
    </row>
    <row r="62" spans="1:56" ht="14.25" customHeight="1">
      <c r="A62" s="1"/>
      <c r="B62" s="1"/>
      <c r="C62" s="83" t="s">
        <v>151</v>
      </c>
      <c r="D62" s="899"/>
      <c r="E62" s="899"/>
      <c r="F62" s="899"/>
      <c r="G62" s="8"/>
      <c r="H62" s="900"/>
      <c r="I62" s="900"/>
      <c r="J62" s="900"/>
      <c r="K62" s="8"/>
      <c r="L62" s="8"/>
      <c r="M62" s="8"/>
      <c r="N62" s="8"/>
      <c r="O62" s="8"/>
      <c r="P62" s="8"/>
      <c r="Q62" s="8"/>
      <c r="R62" s="8"/>
      <c r="S62" s="8"/>
      <c r="T62" s="8"/>
      <c r="U62" s="9"/>
      <c r="V62" s="9"/>
      <c r="W62" s="32"/>
      <c r="X62" s="34"/>
      <c r="Y62" s="215"/>
      <c r="Z62" s="32"/>
      <c r="AA62" s="32"/>
      <c r="AB62" s="32"/>
      <c r="AC62" s="32"/>
      <c r="AD62" s="32"/>
      <c r="AE62" s="32"/>
    </row>
    <row r="63" spans="1:56" ht="14.25" customHeight="1">
      <c r="A63" s="1"/>
      <c r="B63" s="1"/>
      <c r="C63" s="83"/>
      <c r="D63" s="901" t="str">
        <f>IF(T32="","",HLOOKUP(G15,AT20:BA22,3,FALSE))</f>
        <v/>
      </c>
      <c r="E63" s="901"/>
      <c r="F63" s="901"/>
      <c r="G63" s="8"/>
      <c r="H63" s="901" t="str">
        <f>IF(T54="","",HLOOKUP(G15,AT20:BA21,2,FALSE))</f>
        <v/>
      </c>
      <c r="I63" s="901"/>
      <c r="J63" s="901"/>
      <c r="K63" s="8"/>
      <c r="L63" s="8"/>
      <c r="M63" s="8"/>
      <c r="N63" s="8"/>
      <c r="O63" s="8"/>
      <c r="P63" s="8"/>
      <c r="Q63" s="8"/>
      <c r="R63" s="8"/>
      <c r="S63" s="8"/>
      <c r="T63" s="8"/>
      <c r="U63" s="9"/>
      <c r="V63" s="9"/>
      <c r="W63" s="32"/>
      <c r="X63" s="361" t="s">
        <v>150</v>
      </c>
      <c r="Y63" s="191" t="s">
        <v>220</v>
      </c>
      <c r="Z63" s="32"/>
      <c r="AA63" s="893"/>
      <c r="AB63" s="893"/>
      <c r="AC63" s="893"/>
      <c r="AD63" s="893"/>
      <c r="AE63" s="893"/>
      <c r="AF63" s="893"/>
      <c r="AG63" s="893"/>
      <c r="AH63" s="893"/>
    </row>
    <row r="64" spans="1:56" ht="14.25" customHeight="1">
      <c r="A64" s="1"/>
      <c r="B64" s="1"/>
      <c r="C64" s="83"/>
      <c r="D64" s="901"/>
      <c r="E64" s="901"/>
      <c r="F64" s="901"/>
      <c r="G64" s="8"/>
      <c r="H64" s="901"/>
      <c r="I64" s="901"/>
      <c r="J64" s="901"/>
      <c r="K64" s="8"/>
      <c r="L64" s="8"/>
      <c r="M64" s="8"/>
      <c r="N64" s="8"/>
      <c r="O64" s="8"/>
      <c r="P64" s="8"/>
      <c r="Q64" s="8"/>
      <c r="R64" s="8"/>
      <c r="S64" s="8"/>
      <c r="T64" s="8"/>
      <c r="U64" s="9"/>
      <c r="V64" s="9"/>
      <c r="W64" s="32"/>
      <c r="X64" s="61" t="e">
        <f>IF(T32&gt;0,T32/G17*1000,0)</f>
        <v>#VALUE!</v>
      </c>
      <c r="Y64" s="159" t="e">
        <f>IF(T54&lt;&gt;0,(T32-T54)/G17*1000,"")</f>
        <v>#VALUE!</v>
      </c>
      <c r="Z64" s="32"/>
      <c r="AA64" s="893"/>
      <c r="AB64" s="893"/>
      <c r="AC64" s="893"/>
      <c r="AD64" s="893"/>
      <c r="AE64" s="893"/>
      <c r="AF64" s="893"/>
      <c r="AG64" s="893"/>
      <c r="AH64" s="893"/>
      <c r="AI64" s="8"/>
      <c r="AJ64" s="8"/>
      <c r="AK64" s="8"/>
      <c r="AL64" s="8"/>
      <c r="AM64" s="8"/>
      <c r="AN64" s="8"/>
    </row>
    <row r="65" spans="1:40" ht="14.25" customHeight="1">
      <c r="A65" s="1"/>
      <c r="B65" s="1"/>
      <c r="C65" s="83"/>
      <c r="D65" s="901"/>
      <c r="E65" s="901"/>
      <c r="F65" s="901"/>
      <c r="G65" s="8"/>
      <c r="H65" s="901"/>
      <c r="I65" s="901"/>
      <c r="J65" s="901"/>
      <c r="K65" s="8"/>
      <c r="L65" s="8"/>
      <c r="M65" s="8"/>
      <c r="N65" s="8"/>
      <c r="O65" s="8"/>
      <c r="P65" s="8"/>
      <c r="Q65" s="8"/>
      <c r="R65" s="8"/>
      <c r="S65" s="8"/>
      <c r="T65" s="8"/>
      <c r="U65" s="9"/>
      <c r="V65" s="9"/>
      <c r="W65" s="32"/>
      <c r="X65" s="34"/>
      <c r="Y65" s="215"/>
      <c r="Z65" s="32"/>
      <c r="AA65" s="32"/>
      <c r="AB65" s="32"/>
      <c r="AC65" s="33"/>
      <c r="AD65" s="33"/>
      <c r="AE65" s="33"/>
      <c r="AF65" s="8"/>
      <c r="AG65" s="8"/>
      <c r="AH65" s="8"/>
      <c r="AI65" s="8"/>
      <c r="AJ65" s="8"/>
      <c r="AK65" s="8"/>
      <c r="AL65" s="8"/>
      <c r="AM65" s="8"/>
      <c r="AN65" s="8"/>
    </row>
    <row r="66" spans="1:40" ht="14.25" customHeight="1">
      <c r="A66" s="1"/>
      <c r="B66" s="1"/>
      <c r="C66" s="76"/>
      <c r="D66" s="901"/>
      <c r="E66" s="901"/>
      <c r="F66" s="901"/>
      <c r="G66" s="8"/>
      <c r="H66" s="901"/>
      <c r="I66" s="901"/>
      <c r="J66" s="901"/>
      <c r="K66" s="8"/>
      <c r="L66" s="8"/>
      <c r="M66" s="8"/>
      <c r="N66" s="8"/>
      <c r="O66" s="8"/>
      <c r="P66" s="8"/>
      <c r="Q66" s="8"/>
      <c r="R66" s="8"/>
      <c r="S66" s="8"/>
      <c r="T66" s="8"/>
      <c r="U66" s="9"/>
      <c r="V66" s="9"/>
      <c r="W66" s="32"/>
      <c r="X66" s="34"/>
      <c r="Y66" s="215"/>
      <c r="Z66" s="32"/>
      <c r="AA66" s="32"/>
      <c r="AB66" s="32"/>
      <c r="AC66" s="33"/>
      <c r="AD66" s="96"/>
      <c r="AE66" s="75"/>
      <c r="AF66" s="75"/>
      <c r="AG66" s="75"/>
      <c r="AH66" s="8"/>
      <c r="AI66" s="8"/>
      <c r="AJ66" s="8"/>
      <c r="AK66" s="8"/>
      <c r="AL66" s="8"/>
      <c r="AM66" s="8"/>
      <c r="AN66" s="8"/>
    </row>
    <row r="67" spans="1:40" ht="14.25" customHeight="1">
      <c r="A67" s="1"/>
      <c r="B67" s="1"/>
      <c r="C67" s="76"/>
      <c r="D67" s="901"/>
      <c r="E67" s="901"/>
      <c r="F67" s="901"/>
      <c r="G67" s="90"/>
      <c r="H67" s="901"/>
      <c r="I67" s="901"/>
      <c r="J67" s="901"/>
      <c r="K67" s="8"/>
      <c r="L67" s="8"/>
      <c r="M67" s="8"/>
      <c r="N67" s="8"/>
      <c r="O67" s="8"/>
      <c r="P67" s="8"/>
      <c r="Q67" s="8"/>
      <c r="R67" s="8"/>
      <c r="S67" s="8"/>
      <c r="T67" s="8"/>
      <c r="U67" s="9"/>
      <c r="V67" s="9"/>
      <c r="W67" s="32"/>
      <c r="X67" s="34"/>
      <c r="Y67" s="215"/>
      <c r="Z67" s="32"/>
      <c r="AA67" s="32"/>
      <c r="AB67" s="32"/>
      <c r="AC67" s="33"/>
      <c r="AD67" s="75"/>
      <c r="AE67" s="75"/>
      <c r="AF67" s="75"/>
      <c r="AG67" s="75"/>
      <c r="AH67" s="8"/>
      <c r="AI67" s="8"/>
      <c r="AJ67" s="8"/>
      <c r="AK67" s="8"/>
      <c r="AL67" s="8"/>
      <c r="AM67" s="8"/>
      <c r="AN67" s="8"/>
    </row>
    <row r="68" spans="1:40" ht="14.25" customHeight="1">
      <c r="A68" s="1"/>
      <c r="B68" s="1"/>
      <c r="C68" s="76"/>
      <c r="D68" s="901"/>
      <c r="E68" s="901"/>
      <c r="F68" s="901"/>
      <c r="G68" s="90"/>
      <c r="H68" s="901"/>
      <c r="I68" s="901"/>
      <c r="J68" s="901"/>
      <c r="K68" s="8"/>
      <c r="L68" s="8"/>
      <c r="M68" s="8"/>
      <c r="N68" s="8"/>
      <c r="O68" s="8"/>
      <c r="P68" s="8"/>
      <c r="Q68" s="8"/>
      <c r="R68" s="8"/>
      <c r="S68" s="8"/>
      <c r="T68" s="8"/>
      <c r="U68" s="9"/>
      <c r="V68" s="9"/>
      <c r="W68" s="32"/>
      <c r="X68" s="34"/>
      <c r="Y68" s="215"/>
      <c r="Z68" s="32"/>
      <c r="AA68" s="32"/>
      <c r="AB68" s="32"/>
      <c r="AC68" s="33"/>
      <c r="AD68" s="33"/>
      <c r="AE68" s="33"/>
      <c r="AF68" s="8"/>
      <c r="AG68" s="8"/>
      <c r="AH68" s="8"/>
      <c r="AI68" s="8"/>
      <c r="AJ68" s="8"/>
      <c r="AK68" s="8"/>
      <c r="AL68" s="8"/>
      <c r="AM68" s="8"/>
      <c r="AN68" s="8"/>
    </row>
    <row r="69" spans="1:40" ht="14.25" customHeight="1">
      <c r="A69" s="1"/>
      <c r="B69" s="1"/>
      <c r="C69" s="76"/>
      <c r="D69" s="901"/>
      <c r="E69" s="901"/>
      <c r="F69" s="901"/>
      <c r="G69" s="86"/>
      <c r="H69" s="901"/>
      <c r="I69" s="901"/>
      <c r="J69" s="901"/>
      <c r="K69" s="8"/>
      <c r="L69" s="8"/>
      <c r="M69" s="8"/>
      <c r="N69" s="8"/>
      <c r="O69" s="8"/>
      <c r="P69" s="8"/>
      <c r="Q69" s="8"/>
      <c r="R69" s="8"/>
      <c r="S69" s="8"/>
      <c r="T69" s="8"/>
      <c r="U69" s="9"/>
      <c r="V69" s="9"/>
      <c r="W69" s="32"/>
      <c r="X69" s="34" t="s">
        <v>570</v>
      </c>
      <c r="Y69" s="215"/>
      <c r="Z69" s="32"/>
      <c r="AA69" s="158" t="str">
        <f>IF(G18="","",HLOOKUP(G18-1,BB41:BI43,3,FALSE))</f>
        <v/>
      </c>
      <c r="AB69" s="32"/>
      <c r="AC69" s="33"/>
      <c r="AD69" s="33"/>
      <c r="AE69" s="33"/>
      <c r="AF69" s="8"/>
      <c r="AG69" s="8"/>
      <c r="AH69" s="8"/>
      <c r="AI69" s="8"/>
      <c r="AJ69" s="8"/>
      <c r="AK69" s="8"/>
      <c r="AL69" s="8"/>
      <c r="AM69" s="8"/>
      <c r="AN69" s="8"/>
    </row>
    <row r="70" spans="1:40" ht="14.25" customHeight="1">
      <c r="A70" s="1"/>
      <c r="B70" s="1"/>
      <c r="C70" s="84"/>
      <c r="D70" s="104"/>
      <c r="E70" s="104"/>
      <c r="F70" s="104"/>
      <c r="G70" s="87"/>
      <c r="H70" s="15"/>
      <c r="I70" s="15"/>
      <c r="J70" s="15"/>
      <c r="K70" s="15"/>
      <c r="L70" s="15"/>
      <c r="M70" s="15"/>
      <c r="N70" s="15"/>
      <c r="O70" s="15"/>
      <c r="P70" s="15"/>
      <c r="Q70" s="15"/>
      <c r="R70" s="15"/>
      <c r="S70" s="15"/>
      <c r="T70" s="15"/>
      <c r="U70" s="16"/>
      <c r="V70" s="9"/>
      <c r="W70" s="32"/>
      <c r="X70" s="361" t="s">
        <v>150</v>
      </c>
      <c r="Y70" s="191" t="s">
        <v>220</v>
      </c>
      <c r="Z70" s="32"/>
      <c r="AA70" s="32"/>
      <c r="AB70" s="32"/>
      <c r="AC70" s="33"/>
      <c r="AD70" s="33"/>
      <c r="AE70" s="33"/>
      <c r="AF70" s="8"/>
      <c r="AG70" s="8"/>
      <c r="AH70" s="8"/>
      <c r="AI70" s="8"/>
      <c r="AJ70" s="8"/>
      <c r="AK70" s="8"/>
      <c r="AL70" s="8"/>
      <c r="AM70" s="8"/>
      <c r="AN70" s="8"/>
    </row>
    <row r="71" spans="1:40" ht="14.25" customHeight="1">
      <c r="A71" s="1"/>
      <c r="B71" s="1"/>
      <c r="C71" s="86"/>
      <c r="D71" s="103"/>
      <c r="E71" s="103"/>
      <c r="F71" s="103"/>
      <c r="G71" s="86"/>
      <c r="H71" s="77"/>
      <c r="I71" s="78"/>
      <c r="J71" s="78"/>
      <c r="K71" s="8"/>
      <c r="L71" s="74"/>
      <c r="M71" s="77"/>
      <c r="N71" s="78"/>
      <c r="O71" s="79"/>
      <c r="P71" s="8"/>
      <c r="Q71" s="74"/>
      <c r="R71" s="77"/>
      <c r="S71" s="78"/>
      <c r="T71" s="79"/>
      <c r="U71" s="8"/>
      <c r="V71" s="9"/>
      <c r="W71" s="32"/>
      <c r="X71" s="222" t="e">
        <f>AA69/G17</f>
        <v>#VALUE!</v>
      </c>
      <c r="Y71" s="222" t="e">
        <f>(AA69-AZ60)/G17</f>
        <v>#VALUE!</v>
      </c>
      <c r="Z71" s="32"/>
      <c r="AA71" s="32"/>
      <c r="AB71" s="32"/>
      <c r="AC71" s="33"/>
      <c r="AD71" s="33"/>
      <c r="AE71" s="33"/>
      <c r="AF71" s="8"/>
      <c r="AG71" s="8"/>
      <c r="AH71" s="8"/>
      <c r="AI71" s="8"/>
      <c r="AJ71" s="8"/>
      <c r="AK71" s="8"/>
      <c r="AL71" s="8"/>
      <c r="AM71" s="8"/>
      <c r="AN71" s="8"/>
    </row>
    <row r="72" spans="1:40" ht="14.25" customHeight="1">
      <c r="A72" s="1"/>
      <c r="B72" s="1"/>
      <c r="C72" s="10" t="s">
        <v>571</v>
      </c>
      <c r="D72" s="10"/>
      <c r="E72" s="8"/>
      <c r="F72" s="23"/>
      <c r="G72" s="8"/>
      <c r="H72" s="8"/>
      <c r="I72" s="8"/>
      <c r="J72" s="8"/>
      <c r="K72" s="8"/>
      <c r="L72" s="8"/>
      <c r="M72" s="8"/>
      <c r="N72" s="8"/>
      <c r="O72" s="8"/>
      <c r="P72" s="8"/>
      <c r="Q72" s="8"/>
      <c r="R72" s="8"/>
      <c r="S72" s="8"/>
      <c r="T72" s="8"/>
      <c r="U72" s="8"/>
      <c r="V72" s="9"/>
      <c r="W72" s="32"/>
      <c r="X72" s="223" t="s">
        <v>262</v>
      </c>
      <c r="Y72" s="224"/>
      <c r="Z72" s="225"/>
      <c r="AA72" s="907"/>
      <c r="AB72" s="907"/>
      <c r="AC72" s="26"/>
      <c r="AD72" s="26"/>
      <c r="AE72" s="26"/>
      <c r="AF72" s="226"/>
      <c r="AG72" s="8"/>
      <c r="AH72" s="8"/>
      <c r="AI72" s="8"/>
      <c r="AJ72" s="8"/>
      <c r="AK72" s="8"/>
      <c r="AL72" s="8"/>
      <c r="AM72" s="8"/>
      <c r="AN72" s="8"/>
    </row>
    <row r="73" spans="1:40" ht="4.5" customHeight="1">
      <c r="A73" s="1"/>
      <c r="B73" s="1"/>
      <c r="C73" s="8"/>
      <c r="D73" s="8"/>
      <c r="E73" s="8"/>
      <c r="F73" s="23"/>
      <c r="G73" s="8"/>
      <c r="H73" s="8"/>
      <c r="I73" s="8"/>
      <c r="J73" s="8"/>
      <c r="K73" s="8"/>
      <c r="L73" s="8"/>
      <c r="M73" s="8"/>
      <c r="N73" s="8"/>
      <c r="O73" s="8"/>
      <c r="P73" s="8"/>
      <c r="Q73" s="8"/>
      <c r="R73" s="8"/>
      <c r="S73" s="8"/>
      <c r="T73" s="8"/>
      <c r="U73" s="8"/>
      <c r="V73" s="9"/>
      <c r="W73" s="33"/>
      <c r="X73" s="119"/>
      <c r="Y73" s="215"/>
      <c r="Z73" s="33"/>
      <c r="AA73" s="33"/>
      <c r="AB73" s="33"/>
      <c r="AC73" s="33"/>
      <c r="AD73" s="33"/>
      <c r="AE73" s="33"/>
      <c r="AF73" s="9"/>
      <c r="AG73" s="8"/>
      <c r="AH73" s="8"/>
      <c r="AI73" s="8"/>
      <c r="AJ73" s="8"/>
      <c r="AK73" s="8"/>
      <c r="AL73" s="8"/>
      <c r="AM73" s="8"/>
      <c r="AN73" s="8"/>
    </row>
    <row r="74" spans="1:40" ht="14.25" customHeight="1">
      <c r="A74" s="1"/>
      <c r="B74" s="1"/>
      <c r="C74" s="25" t="s">
        <v>20</v>
      </c>
      <c r="D74" s="88"/>
      <c r="E74" s="26"/>
      <c r="F74" s="27"/>
      <c r="G74" s="26"/>
      <c r="H74" s="26"/>
      <c r="I74" s="26"/>
      <c r="J74" s="26"/>
      <c r="K74" s="26"/>
      <c r="L74" s="26"/>
      <c r="M74" s="26"/>
      <c r="N74" s="26"/>
      <c r="O74" s="26"/>
      <c r="P74" s="26"/>
      <c r="Q74" s="26"/>
      <c r="R74" s="26"/>
      <c r="S74" s="26"/>
      <c r="T74" s="26"/>
      <c r="U74" s="28"/>
      <c r="V74" s="9"/>
      <c r="W74" s="33"/>
      <c r="X74" s="119" t="s">
        <v>252</v>
      </c>
      <c r="Y74" s="215"/>
      <c r="Z74" s="33"/>
      <c r="AA74" s="33"/>
      <c r="AB74" s="33"/>
      <c r="AC74" s="33"/>
      <c r="AD74" s="33"/>
      <c r="AE74" s="33"/>
      <c r="AF74" s="9"/>
      <c r="AG74" s="8"/>
      <c r="AH74" s="8"/>
      <c r="AI74" s="8"/>
      <c r="AJ74" s="8"/>
      <c r="AK74" s="8"/>
      <c r="AL74" s="8"/>
      <c r="AM74" s="8"/>
      <c r="AN74" s="8"/>
    </row>
    <row r="75" spans="1:40" ht="5.0999999999999996" customHeight="1">
      <c r="A75" s="1"/>
      <c r="B75" s="1"/>
      <c r="C75" s="29"/>
      <c r="D75" s="33"/>
      <c r="E75" s="33"/>
      <c r="F75" s="33"/>
      <c r="G75" s="33"/>
      <c r="H75" s="33"/>
      <c r="I75" s="33"/>
      <c r="J75" s="33"/>
      <c r="K75" s="33"/>
      <c r="L75" s="33"/>
      <c r="M75" s="33"/>
      <c r="N75" s="33"/>
      <c r="O75" s="33"/>
      <c r="P75" s="33"/>
      <c r="Q75" s="33"/>
      <c r="R75" s="33"/>
      <c r="S75" s="33"/>
      <c r="T75" s="33"/>
      <c r="U75" s="30"/>
      <c r="V75" s="9"/>
      <c r="W75" s="33"/>
      <c r="X75" s="119"/>
      <c r="Y75" s="215"/>
      <c r="Z75" s="33"/>
      <c r="AA75" s="33"/>
      <c r="AB75" s="33"/>
      <c r="AC75" s="33"/>
      <c r="AD75" s="33"/>
      <c r="AE75" s="33"/>
      <c r="AF75" s="9"/>
    </row>
    <row r="76" spans="1:40" ht="14.25" customHeight="1">
      <c r="A76" s="1"/>
      <c r="B76" s="1"/>
      <c r="C76" s="29" t="s">
        <v>21</v>
      </c>
      <c r="D76" s="33"/>
      <c r="E76" s="33"/>
      <c r="F76" s="228"/>
      <c r="G76" s="33" t="s">
        <v>22</v>
      </c>
      <c r="H76" s="33" t="s">
        <v>23</v>
      </c>
      <c r="I76" s="228"/>
      <c r="J76" s="33" t="s">
        <v>22</v>
      </c>
      <c r="K76" s="33"/>
      <c r="L76" s="34" t="s">
        <v>24</v>
      </c>
      <c r="M76" s="33"/>
      <c r="N76" s="228"/>
      <c r="O76" s="33" t="s">
        <v>25</v>
      </c>
      <c r="P76" s="896" t="s">
        <v>218</v>
      </c>
      <c r="Q76" s="896"/>
      <c r="R76" s="896"/>
      <c r="S76" s="897"/>
      <c r="T76" s="232" t="str">
        <f>IF(OR(F76="",I76="",N76=""),"",T32*AD77*N76/100*(I76-F76)*AA79/100)</f>
        <v/>
      </c>
      <c r="U76" s="13" t="s">
        <v>26</v>
      </c>
      <c r="V76" s="9"/>
      <c r="W76" s="33"/>
      <c r="X76" s="35" t="s">
        <v>253</v>
      </c>
      <c r="Y76" s="35" t="s">
        <v>254</v>
      </c>
      <c r="Z76" s="33"/>
      <c r="AA76" s="35" t="s">
        <v>255</v>
      </c>
      <c r="AB76" s="35" t="s">
        <v>256</v>
      </c>
      <c r="AC76" s="33"/>
      <c r="AD76" s="35" t="s">
        <v>53</v>
      </c>
      <c r="AE76" s="35" t="s">
        <v>54</v>
      </c>
      <c r="AF76" s="9"/>
    </row>
    <row r="77" spans="1:40" ht="14.25" customHeight="1">
      <c r="A77" s="1"/>
      <c r="B77" s="1"/>
      <c r="C77" s="29" t="s">
        <v>27</v>
      </c>
      <c r="D77" s="33"/>
      <c r="E77" s="33"/>
      <c r="F77" s="228"/>
      <c r="G77" s="33" t="s">
        <v>22</v>
      </c>
      <c r="H77" s="33" t="s">
        <v>23</v>
      </c>
      <c r="I77" s="228"/>
      <c r="J77" s="33" t="s">
        <v>22</v>
      </c>
      <c r="K77" s="33"/>
      <c r="L77" s="34" t="s">
        <v>24</v>
      </c>
      <c r="M77" s="33"/>
      <c r="N77" s="228"/>
      <c r="O77" s="33" t="s">
        <v>25</v>
      </c>
      <c r="P77" s="896" t="s">
        <v>218</v>
      </c>
      <c r="Q77" s="896"/>
      <c r="R77" s="896"/>
      <c r="S77" s="897"/>
      <c r="T77" s="232" t="str">
        <f>IF(OR(F77="",I77="",N77=""),"",T32*AE77*N77/100*(F77-I77)*AA79/100)</f>
        <v/>
      </c>
      <c r="U77" s="13" t="s">
        <v>26</v>
      </c>
      <c r="V77" s="9"/>
      <c r="W77" s="32"/>
      <c r="X77" s="35">
        <v>0.45200000000000001</v>
      </c>
      <c r="Y77" s="35">
        <v>0.20200000000000001</v>
      </c>
      <c r="Z77" s="96"/>
      <c r="AA77" s="109">
        <v>0.7</v>
      </c>
      <c r="AB77" s="109">
        <v>0.3</v>
      </c>
      <c r="AC77" s="71"/>
      <c r="AD77" s="109">
        <v>0.28799999999999998</v>
      </c>
      <c r="AE77" s="35">
        <v>0.16200000000000001</v>
      </c>
      <c r="AF77" s="9"/>
    </row>
    <row r="78" spans="1:40" ht="5.0999999999999996" customHeight="1">
      <c r="A78" s="1"/>
      <c r="B78" s="1"/>
      <c r="C78" s="116"/>
      <c r="D78" s="117"/>
      <c r="E78" s="117"/>
      <c r="F78" s="117"/>
      <c r="G78" s="117"/>
      <c r="H78" s="117"/>
      <c r="I78" s="117"/>
      <c r="J78" s="117"/>
      <c r="K78" s="117"/>
      <c r="L78" s="117"/>
      <c r="M78" s="117"/>
      <c r="N78" s="117"/>
      <c r="O78" s="117"/>
      <c r="P78" s="117"/>
      <c r="Q78" s="117"/>
      <c r="R78" s="117"/>
      <c r="S78" s="117"/>
      <c r="T78" s="117"/>
      <c r="U78" s="118"/>
      <c r="V78" s="9"/>
      <c r="W78" s="32"/>
      <c r="X78" s="29"/>
      <c r="Y78" s="33"/>
      <c r="Z78" s="96"/>
      <c r="AA78" s="96"/>
      <c r="AB78" s="96"/>
      <c r="AC78" s="96"/>
      <c r="AD78" s="96"/>
      <c r="AE78" s="33"/>
      <c r="AF78" s="9"/>
      <c r="AG78" s="893"/>
      <c r="AH78" s="893"/>
      <c r="AI78" s="893"/>
      <c r="AJ78" s="893"/>
      <c r="AK78" s="893"/>
    </row>
    <row r="79" spans="1:40" ht="14.25" customHeight="1">
      <c r="A79" s="1"/>
      <c r="B79" s="1"/>
      <c r="C79" s="24" t="s">
        <v>28</v>
      </c>
      <c r="D79" s="89"/>
      <c r="E79" s="33"/>
      <c r="F79" s="33"/>
      <c r="G79" s="33"/>
      <c r="H79" s="33"/>
      <c r="I79" s="33"/>
      <c r="J79" s="33"/>
      <c r="K79" s="33"/>
      <c r="L79" s="33"/>
      <c r="M79" s="33"/>
      <c r="N79" s="33"/>
      <c r="O79" s="33"/>
      <c r="P79" s="33"/>
      <c r="Q79" s="33"/>
      <c r="R79" s="33"/>
      <c r="S79" s="33"/>
      <c r="T79" s="33"/>
      <c r="U79" s="13"/>
      <c r="V79" s="9"/>
      <c r="X79" s="29" t="s">
        <v>257</v>
      </c>
      <c r="Y79" s="8"/>
      <c r="Z79" s="8"/>
      <c r="AA79" s="35">
        <v>5</v>
      </c>
      <c r="AB79" s="33" t="s">
        <v>258</v>
      </c>
      <c r="AC79" s="8"/>
      <c r="AD79" s="8"/>
      <c r="AE79" s="8"/>
      <c r="AF79" s="9"/>
      <c r="AG79" s="893"/>
      <c r="AH79" s="893"/>
      <c r="AI79" s="893"/>
      <c r="AJ79" s="893"/>
      <c r="AK79" s="893"/>
    </row>
    <row r="80" spans="1:40" ht="5.0999999999999996" customHeight="1">
      <c r="A80" s="1"/>
      <c r="B80" s="1"/>
      <c r="C80" s="29"/>
      <c r="D80" s="33"/>
      <c r="E80" s="33"/>
      <c r="F80" s="33"/>
      <c r="G80" s="33"/>
      <c r="H80" s="33"/>
      <c r="I80" s="33"/>
      <c r="J80" s="33"/>
      <c r="K80" s="33"/>
      <c r="L80" s="33"/>
      <c r="M80" s="33"/>
      <c r="N80" s="33"/>
      <c r="O80" s="33"/>
      <c r="P80" s="33"/>
      <c r="Q80" s="33"/>
      <c r="R80" s="33"/>
      <c r="S80" s="33"/>
      <c r="T80" s="33"/>
      <c r="U80" s="13"/>
      <c r="V80" s="9"/>
      <c r="X80" s="1"/>
      <c r="Y80" s="8"/>
      <c r="Z80" s="8"/>
      <c r="AA80" s="8"/>
      <c r="AB80" s="8"/>
      <c r="AC80" s="8"/>
      <c r="AD80" s="8"/>
      <c r="AE80" s="8"/>
      <c r="AF80" s="9"/>
    </row>
    <row r="81" spans="1:32" ht="14.25" customHeight="1">
      <c r="A81" s="1"/>
      <c r="B81" s="1"/>
      <c r="C81" s="29" t="s">
        <v>29</v>
      </c>
      <c r="D81" s="33"/>
      <c r="E81" s="33"/>
      <c r="F81" s="229"/>
      <c r="G81" s="33" t="s">
        <v>30</v>
      </c>
      <c r="H81" s="33" t="s">
        <v>23</v>
      </c>
      <c r="I81" s="229"/>
      <c r="J81" s="33" t="s">
        <v>30</v>
      </c>
      <c r="K81" s="33"/>
      <c r="L81" s="33" t="s">
        <v>24</v>
      </c>
      <c r="M81" s="33"/>
      <c r="N81" s="229"/>
      <c r="O81" s="33" t="s">
        <v>25</v>
      </c>
      <c r="P81" s="896" t="s">
        <v>218</v>
      </c>
      <c r="Q81" s="896"/>
      <c r="R81" s="896"/>
      <c r="S81" s="897"/>
      <c r="T81" s="232" t="str">
        <f>IF(OR(F81="",I81="",N81=""),"",T32*X77*N81/100*(F81-I81)/30*AB81/100)</f>
        <v/>
      </c>
      <c r="U81" s="13" t="s">
        <v>26</v>
      </c>
      <c r="V81" s="9"/>
      <c r="X81" s="29" t="s">
        <v>259</v>
      </c>
      <c r="Y81" s="8"/>
      <c r="Z81" s="8"/>
      <c r="AA81" s="8"/>
      <c r="AB81" s="35">
        <v>1</v>
      </c>
      <c r="AC81" s="33" t="s">
        <v>258</v>
      </c>
      <c r="AD81" s="8"/>
      <c r="AE81" s="8"/>
      <c r="AF81" s="9"/>
    </row>
    <row r="82" spans="1:32" ht="5.0999999999999996" customHeight="1">
      <c r="A82" s="1"/>
      <c r="B82" s="1"/>
      <c r="C82" s="116"/>
      <c r="D82" s="117"/>
      <c r="E82" s="117"/>
      <c r="F82" s="117"/>
      <c r="G82" s="117"/>
      <c r="H82" s="117"/>
      <c r="I82" s="117"/>
      <c r="J82" s="117"/>
      <c r="K82" s="117"/>
      <c r="L82" s="117"/>
      <c r="M82" s="117"/>
      <c r="N82" s="117"/>
      <c r="O82" s="117"/>
      <c r="P82" s="117"/>
      <c r="Q82" s="117"/>
      <c r="R82" s="117"/>
      <c r="S82" s="117"/>
      <c r="T82" s="117"/>
      <c r="U82" s="118"/>
      <c r="V82" s="9"/>
      <c r="X82" s="1"/>
      <c r="Y82" s="8"/>
      <c r="Z82" s="8"/>
      <c r="AA82" s="8"/>
      <c r="AB82" s="8"/>
      <c r="AC82" s="8"/>
      <c r="AD82" s="8"/>
      <c r="AE82" s="8"/>
      <c r="AF82" s="9"/>
    </row>
    <row r="83" spans="1:32" ht="14.25" customHeight="1">
      <c r="A83" s="1"/>
      <c r="B83" s="1"/>
      <c r="C83" s="24" t="s">
        <v>31</v>
      </c>
      <c r="D83" s="89"/>
      <c r="E83" s="33"/>
      <c r="F83" s="33"/>
      <c r="G83" s="33"/>
      <c r="H83" s="33"/>
      <c r="I83" s="33"/>
      <c r="J83" s="33"/>
      <c r="K83" s="33"/>
      <c r="L83" s="33"/>
      <c r="M83" s="33"/>
      <c r="N83" s="33"/>
      <c r="O83" s="33"/>
      <c r="P83" s="33"/>
      <c r="Q83" s="33"/>
      <c r="R83" s="33"/>
      <c r="S83" s="33"/>
      <c r="T83" s="33"/>
      <c r="U83" s="13"/>
      <c r="V83" s="9"/>
      <c r="X83" s="29" t="s">
        <v>260</v>
      </c>
      <c r="Y83" s="8"/>
      <c r="Z83" s="8"/>
      <c r="AA83" s="35">
        <v>8</v>
      </c>
      <c r="AB83" s="33" t="s">
        <v>258</v>
      </c>
      <c r="AC83" s="8"/>
      <c r="AD83" s="8"/>
      <c r="AE83" s="8"/>
      <c r="AF83" s="9"/>
    </row>
    <row r="84" spans="1:32" ht="5.0999999999999996" customHeight="1">
      <c r="A84" s="1"/>
      <c r="B84" s="1"/>
      <c r="C84" s="29"/>
      <c r="D84" s="33"/>
      <c r="E84" s="33"/>
      <c r="F84" s="33"/>
      <c r="G84" s="33"/>
      <c r="H84" s="33"/>
      <c r="I84" s="33"/>
      <c r="J84" s="33"/>
      <c r="K84" s="33"/>
      <c r="L84" s="33"/>
      <c r="M84" s="33"/>
      <c r="N84" s="33"/>
      <c r="O84" s="33"/>
      <c r="P84" s="33"/>
      <c r="Q84" s="33"/>
      <c r="R84" s="33"/>
      <c r="S84" s="33"/>
      <c r="T84" s="33"/>
      <c r="U84" s="13"/>
      <c r="V84" s="9"/>
      <c r="X84" s="1"/>
      <c r="Y84" s="8"/>
      <c r="Z84" s="8"/>
      <c r="AA84" s="8"/>
      <c r="AB84" s="8"/>
      <c r="AC84" s="8"/>
      <c r="AD84" s="8"/>
      <c r="AE84" s="8"/>
      <c r="AF84" s="9"/>
    </row>
    <row r="85" spans="1:32" ht="14.25" customHeight="1">
      <c r="A85" s="1"/>
      <c r="B85" s="1"/>
      <c r="C85" s="29" t="s">
        <v>212</v>
      </c>
      <c r="D85" s="33"/>
      <c r="E85" s="33"/>
      <c r="F85" s="229"/>
      <c r="G85" s="33" t="s">
        <v>25</v>
      </c>
      <c r="H85" s="33" t="s">
        <v>23</v>
      </c>
      <c r="I85" s="229"/>
      <c r="J85" s="33" t="s">
        <v>25</v>
      </c>
      <c r="K85" s="33"/>
      <c r="L85" s="33" t="s">
        <v>24</v>
      </c>
      <c r="M85" s="33"/>
      <c r="N85" s="229"/>
      <c r="O85" s="33" t="s">
        <v>25</v>
      </c>
      <c r="P85" s="896" t="s">
        <v>218</v>
      </c>
      <c r="Q85" s="896"/>
      <c r="R85" s="896"/>
      <c r="S85" s="897"/>
      <c r="T85" s="232" t="str">
        <f>IF(OR(F85="",I85="",N85=""),"",T32*Y77*AB77*N85/100*(I85-F85)/100)</f>
        <v/>
      </c>
      <c r="U85" s="13" t="s">
        <v>26</v>
      </c>
      <c r="V85" s="9"/>
      <c r="X85" s="29" t="s">
        <v>261</v>
      </c>
      <c r="Y85" s="8"/>
      <c r="Z85" s="8"/>
      <c r="AA85" s="35">
        <v>10</v>
      </c>
      <c r="AB85" s="33" t="s">
        <v>258</v>
      </c>
      <c r="AC85" s="8"/>
      <c r="AD85" s="8"/>
      <c r="AE85" s="8"/>
      <c r="AF85" s="9"/>
    </row>
    <row r="86" spans="1:32" ht="5.0999999999999996" customHeight="1">
      <c r="A86" s="1"/>
      <c r="B86" s="1"/>
      <c r="C86" s="29"/>
      <c r="D86" s="33"/>
      <c r="E86" s="33"/>
      <c r="F86" s="33"/>
      <c r="G86" s="33"/>
      <c r="H86" s="33"/>
      <c r="I86" s="33"/>
      <c r="J86" s="33"/>
      <c r="K86" s="33"/>
      <c r="L86" s="33"/>
      <c r="M86" s="33"/>
      <c r="N86" s="33"/>
      <c r="O86" s="33"/>
      <c r="P86" s="33"/>
      <c r="Q86" s="33"/>
      <c r="R86" s="33"/>
      <c r="S86" s="33"/>
      <c r="T86" s="33"/>
      <c r="U86" s="13"/>
      <c r="V86" s="9"/>
      <c r="X86" s="1"/>
      <c r="Y86" s="8"/>
      <c r="Z86" s="8"/>
      <c r="AA86" s="8"/>
      <c r="AB86" s="8"/>
      <c r="AC86" s="8"/>
      <c r="AD86" s="8"/>
      <c r="AE86" s="8"/>
      <c r="AF86" s="9"/>
    </row>
    <row r="87" spans="1:32" ht="14.25" customHeight="1">
      <c r="A87" s="1"/>
      <c r="B87" s="1"/>
      <c r="C87" s="123" t="s">
        <v>217</v>
      </c>
      <c r="D87" s="33"/>
      <c r="E87" s="33"/>
      <c r="F87" s="229"/>
      <c r="G87" s="33" t="s">
        <v>25</v>
      </c>
      <c r="H87" s="33" t="s">
        <v>23</v>
      </c>
      <c r="I87" s="229"/>
      <c r="J87" s="33" t="s">
        <v>25</v>
      </c>
      <c r="K87" s="33"/>
      <c r="L87" s="33" t="s">
        <v>24</v>
      </c>
      <c r="M87" s="33"/>
      <c r="N87" s="229"/>
      <c r="O87" s="33" t="s">
        <v>25</v>
      </c>
      <c r="P87" s="896" t="s">
        <v>218</v>
      </c>
      <c r="Q87" s="896"/>
      <c r="R87" s="896"/>
      <c r="S87" s="897"/>
      <c r="T87" s="232" t="str">
        <f>IF(OR(F87="",I87="",N87=""),"",T32*Y77*AA77*N87/100*(I87-F87)/100)</f>
        <v/>
      </c>
      <c r="U87" s="13" t="s">
        <v>26</v>
      </c>
      <c r="V87" s="9"/>
      <c r="X87" s="14"/>
      <c r="Y87" s="15"/>
      <c r="Z87" s="15"/>
      <c r="AA87" s="15"/>
      <c r="AB87" s="15"/>
      <c r="AC87" s="15"/>
      <c r="AD87" s="15"/>
      <c r="AE87" s="15"/>
      <c r="AF87" s="16"/>
    </row>
    <row r="88" spans="1:32" ht="5.0999999999999996" customHeight="1">
      <c r="A88" s="1"/>
      <c r="B88" s="1"/>
      <c r="C88" s="116"/>
      <c r="D88" s="117"/>
      <c r="E88" s="117"/>
      <c r="F88" s="117"/>
      <c r="G88" s="117"/>
      <c r="H88" s="117"/>
      <c r="I88" s="117"/>
      <c r="J88" s="117"/>
      <c r="K88" s="117"/>
      <c r="L88" s="117"/>
      <c r="M88" s="117"/>
      <c r="N88" s="117"/>
      <c r="O88" s="117"/>
      <c r="P88" s="117"/>
      <c r="Q88" s="117"/>
      <c r="R88" s="117"/>
      <c r="S88" s="117"/>
      <c r="T88" s="117"/>
      <c r="U88" s="118"/>
      <c r="V88" s="9"/>
    </row>
    <row r="89" spans="1:32" ht="14.25" customHeight="1">
      <c r="A89" s="1"/>
      <c r="B89" s="1"/>
      <c r="C89" s="24" t="s">
        <v>32</v>
      </c>
      <c r="D89" s="89"/>
      <c r="E89" s="33"/>
      <c r="F89" s="33"/>
      <c r="G89" s="33"/>
      <c r="H89" s="33"/>
      <c r="I89" s="33"/>
      <c r="J89" s="33"/>
      <c r="K89" s="33"/>
      <c r="L89" s="33"/>
      <c r="M89" s="33"/>
      <c r="N89" s="33"/>
      <c r="O89" s="33"/>
      <c r="P89" s="33"/>
      <c r="Q89" s="33"/>
      <c r="R89" s="33"/>
      <c r="S89" s="33"/>
      <c r="T89" s="33"/>
      <c r="U89" s="13"/>
      <c r="V89" s="9"/>
    </row>
    <row r="90" spans="1:32" ht="5.0999999999999996" customHeight="1">
      <c r="A90" s="1"/>
      <c r="B90" s="1"/>
      <c r="C90" s="29"/>
      <c r="D90" s="33"/>
      <c r="E90" s="33"/>
      <c r="F90" s="33"/>
      <c r="G90" s="33"/>
      <c r="H90" s="33"/>
      <c r="I90" s="33"/>
      <c r="J90" s="33"/>
      <c r="K90" s="33"/>
      <c r="L90" s="33"/>
      <c r="M90" s="33"/>
      <c r="N90" s="33"/>
      <c r="O90" s="33"/>
      <c r="P90" s="33"/>
      <c r="Q90" s="33"/>
      <c r="R90" s="33"/>
      <c r="S90" s="33"/>
      <c r="T90" s="33"/>
      <c r="U90" s="13"/>
      <c r="V90" s="9"/>
    </row>
    <row r="91" spans="1:32" ht="14.25" customHeight="1">
      <c r="A91" s="1"/>
      <c r="B91" s="1"/>
      <c r="C91" s="29" t="s">
        <v>213</v>
      </c>
      <c r="D91" s="33"/>
      <c r="E91" s="33"/>
      <c r="F91" s="229"/>
      <c r="G91" s="33" t="s">
        <v>214</v>
      </c>
      <c r="H91" s="33" t="s">
        <v>23</v>
      </c>
      <c r="I91" s="229"/>
      <c r="J91" s="33" t="s">
        <v>214</v>
      </c>
      <c r="K91" s="33"/>
      <c r="L91" s="33" t="s">
        <v>24</v>
      </c>
      <c r="M91" s="33"/>
      <c r="N91" s="229"/>
      <c r="O91" s="33" t="s">
        <v>25</v>
      </c>
      <c r="P91" s="896" t="s">
        <v>218</v>
      </c>
      <c r="Q91" s="896"/>
      <c r="R91" s="896"/>
      <c r="S91" s="897"/>
      <c r="T91" s="232" t="str">
        <f>IF(OR(F91="",I91="",N91=""),"",T32*Y77*AA77*N91/100*(I91-F91)/60*AA83/100)</f>
        <v/>
      </c>
      <c r="U91" s="13" t="s">
        <v>26</v>
      </c>
      <c r="V91" s="9"/>
    </row>
    <row r="92" spans="1:32" ht="5.0999999999999996" customHeight="1">
      <c r="A92" s="1"/>
      <c r="B92" s="1"/>
      <c r="C92" s="116"/>
      <c r="D92" s="117"/>
      <c r="E92" s="117"/>
      <c r="F92" s="117"/>
      <c r="G92" s="117"/>
      <c r="H92" s="117"/>
      <c r="I92" s="117"/>
      <c r="J92" s="117"/>
      <c r="K92" s="117"/>
      <c r="L92" s="117"/>
      <c r="M92" s="117"/>
      <c r="N92" s="117"/>
      <c r="O92" s="117"/>
      <c r="P92" s="117"/>
      <c r="Q92" s="117"/>
      <c r="R92" s="117"/>
      <c r="S92" s="117"/>
      <c r="T92" s="117"/>
      <c r="U92" s="118"/>
      <c r="V92" s="9"/>
    </row>
    <row r="93" spans="1:32">
      <c r="A93" s="1"/>
      <c r="B93" s="1"/>
      <c r="C93" s="24" t="s">
        <v>33</v>
      </c>
      <c r="D93" s="89"/>
      <c r="E93" s="33"/>
      <c r="F93" s="33"/>
      <c r="G93" s="33"/>
      <c r="H93" s="33"/>
      <c r="I93" s="33"/>
      <c r="J93" s="33"/>
      <c r="K93" s="33"/>
      <c r="L93" s="33"/>
      <c r="M93" s="33"/>
      <c r="N93" s="33"/>
      <c r="O93" s="33"/>
      <c r="P93" s="33"/>
      <c r="Q93" s="33"/>
      <c r="R93" s="33"/>
      <c r="S93" s="33"/>
      <c r="T93" s="33"/>
      <c r="U93" s="13"/>
      <c r="V93" s="9"/>
    </row>
    <row r="94" spans="1:32" ht="5.0999999999999996" customHeight="1">
      <c r="A94" s="1"/>
      <c r="B94" s="1"/>
      <c r="C94" s="24"/>
      <c r="D94" s="89"/>
      <c r="E94" s="33"/>
      <c r="F94" s="33"/>
      <c r="G94" s="33"/>
      <c r="H94" s="33"/>
      <c r="I94" s="33"/>
      <c r="J94" s="33"/>
      <c r="K94" s="33"/>
      <c r="L94" s="33"/>
      <c r="M94" s="33"/>
      <c r="N94" s="33"/>
      <c r="O94" s="33"/>
      <c r="P94" s="33"/>
      <c r="Q94" s="33"/>
      <c r="R94" s="33"/>
      <c r="S94" s="33"/>
      <c r="T94" s="33"/>
      <c r="U94" s="13"/>
      <c r="V94" s="9"/>
    </row>
    <row r="95" spans="1:32" ht="14.25" customHeight="1">
      <c r="A95" s="1"/>
      <c r="B95" s="1"/>
      <c r="C95" s="29" t="s">
        <v>34</v>
      </c>
      <c r="D95" s="33"/>
      <c r="E95" s="33"/>
      <c r="F95" s="229"/>
      <c r="G95" s="33" t="s">
        <v>35</v>
      </c>
      <c r="H95" s="33" t="s">
        <v>23</v>
      </c>
      <c r="I95" s="229"/>
      <c r="J95" s="33" t="s">
        <v>35</v>
      </c>
      <c r="K95" s="33"/>
      <c r="L95" s="34" t="s">
        <v>24</v>
      </c>
      <c r="M95" s="33"/>
      <c r="N95" s="229"/>
      <c r="O95" s="33" t="s">
        <v>25</v>
      </c>
      <c r="P95" s="896" t="s">
        <v>218</v>
      </c>
      <c r="Q95" s="896"/>
      <c r="R95" s="896"/>
      <c r="S95" s="897"/>
      <c r="T95" s="232" t="str">
        <f>IF(OR(F95="",I95="",N95=""),"",T32*Y77*AA77*N95/100*(F95-I95)/100*AA85/100)</f>
        <v/>
      </c>
      <c r="U95" s="13" t="s">
        <v>26</v>
      </c>
      <c r="V95" s="9"/>
      <c r="X95" s="31" t="s">
        <v>248</v>
      </c>
      <c r="Y95" s="31"/>
      <c r="Z95" s="31"/>
      <c r="AA95" s="31"/>
    </row>
    <row r="96" spans="1:32" ht="14.25" thickBot="1">
      <c r="A96" s="1"/>
      <c r="B96" s="1"/>
      <c r="C96" s="14"/>
      <c r="D96" s="15"/>
      <c r="E96" s="15"/>
      <c r="F96" s="15"/>
      <c r="G96" s="15"/>
      <c r="H96" s="15"/>
      <c r="I96" s="15"/>
      <c r="J96" s="15"/>
      <c r="K96" s="15"/>
      <c r="L96" s="15"/>
      <c r="M96" s="15"/>
      <c r="N96" s="15"/>
      <c r="O96" s="15"/>
      <c r="P96" s="15"/>
      <c r="Q96" s="15"/>
      <c r="R96" s="15"/>
      <c r="S96" s="15"/>
      <c r="T96" s="15"/>
      <c r="U96" s="16"/>
      <c r="V96" s="9"/>
    </row>
    <row r="97" spans="1:28">
      <c r="A97" s="14"/>
      <c r="B97" s="14"/>
      <c r="C97" s="15"/>
      <c r="D97" s="15"/>
      <c r="E97" s="15"/>
      <c r="F97" s="15"/>
      <c r="G97" s="15"/>
      <c r="H97" s="15"/>
      <c r="I97" s="15"/>
      <c r="J97" s="15"/>
      <c r="K97" s="15"/>
      <c r="L97" s="15"/>
      <c r="M97" s="15"/>
      <c r="N97" s="15"/>
      <c r="O97" s="15"/>
      <c r="P97" s="15"/>
      <c r="Q97" s="15"/>
      <c r="R97" s="15"/>
      <c r="S97" s="15"/>
      <c r="T97" s="15"/>
      <c r="U97" s="15"/>
      <c r="V97" s="16"/>
      <c r="X97" s="902" t="s">
        <v>55</v>
      </c>
      <c r="Y97" s="187" t="s">
        <v>99</v>
      </c>
      <c r="Z97" s="904" t="s">
        <v>95</v>
      </c>
      <c r="AA97" s="187" t="s">
        <v>100</v>
      </c>
      <c r="AB97" s="905" t="s">
        <v>145</v>
      </c>
    </row>
    <row r="98" spans="1:28">
      <c r="X98" s="903"/>
      <c r="Y98" s="355" t="s">
        <v>143</v>
      </c>
      <c r="Z98" s="720"/>
      <c r="AA98" s="355" t="s">
        <v>143</v>
      </c>
      <c r="AB98" s="906"/>
    </row>
    <row r="99" spans="1:28">
      <c r="X99" s="149" t="s">
        <v>66</v>
      </c>
      <c r="Y99" s="361">
        <v>0.38200000000000001</v>
      </c>
      <c r="Z99" s="361">
        <v>9.76</v>
      </c>
      <c r="AA99" s="361">
        <v>0.48899999999999999</v>
      </c>
      <c r="AB99" s="234">
        <f>IF($J$32="第一計画期間",Y99,AA99)</f>
        <v>0.48899999999999999</v>
      </c>
    </row>
    <row r="100" spans="1:28">
      <c r="X100" s="149" t="s">
        <v>67</v>
      </c>
      <c r="Y100" s="361">
        <v>2.2770000000000001</v>
      </c>
      <c r="Z100" s="361">
        <v>45</v>
      </c>
      <c r="AA100" s="361">
        <f>Y100*0.0136/0.0138</f>
        <v>2.2440000000000002</v>
      </c>
      <c r="AB100" s="234">
        <f t="shared" ref="AB100:AB105" si="20">IF($J$32="第一計画期間",Y100,AA100)</f>
        <v>2.2440000000000002</v>
      </c>
    </row>
    <row r="101" spans="1:28">
      <c r="X101" s="149" t="s">
        <v>68</v>
      </c>
      <c r="Y101" s="361">
        <v>2.2770000000000001</v>
      </c>
      <c r="Z101" s="361">
        <v>45</v>
      </c>
      <c r="AA101" s="361">
        <f>Y101*0.0136/0.0138</f>
        <v>2.2440000000000002</v>
      </c>
      <c r="AB101" s="234">
        <f t="shared" si="20"/>
        <v>2.2440000000000002</v>
      </c>
    </row>
    <row r="102" spans="1:28">
      <c r="X102" s="149" t="s">
        <v>69</v>
      </c>
      <c r="Y102" s="361">
        <v>3.0019999999999998</v>
      </c>
      <c r="Z102" s="361">
        <v>50.8</v>
      </c>
      <c r="AA102" s="361">
        <f>Y102*0.0161/0.0163</f>
        <v>2.9651656441717793</v>
      </c>
      <c r="AB102" s="234">
        <f t="shared" si="20"/>
        <v>2.9651656441717793</v>
      </c>
    </row>
    <row r="103" spans="1:28">
      <c r="X103" s="149" t="s">
        <v>70</v>
      </c>
      <c r="Y103" s="361">
        <v>2.7096300000000002</v>
      </c>
      <c r="Z103" s="361">
        <v>39.1</v>
      </c>
      <c r="AA103" s="361">
        <v>2.7096300000000002</v>
      </c>
      <c r="AB103" s="234">
        <f t="shared" si="20"/>
        <v>2.7096300000000002</v>
      </c>
    </row>
    <row r="104" spans="1:28">
      <c r="X104" s="149" t="s">
        <v>71</v>
      </c>
      <c r="Y104" s="361">
        <v>2.4894833333333337</v>
      </c>
      <c r="Z104" s="361">
        <v>36.700000000000003</v>
      </c>
      <c r="AA104" s="361">
        <v>2.4894833333333337</v>
      </c>
      <c r="AB104" s="234">
        <f t="shared" si="20"/>
        <v>2.4894833333333337</v>
      </c>
    </row>
    <row r="105" spans="1:28" ht="14.25" thickBot="1">
      <c r="X105" s="169" t="s">
        <v>65</v>
      </c>
      <c r="Y105" s="189">
        <v>5.1999999999999998E-2</v>
      </c>
      <c r="Z105" s="189">
        <v>1.36</v>
      </c>
      <c r="AA105" s="189">
        <v>0.06</v>
      </c>
      <c r="AB105" s="235">
        <f t="shared" si="20"/>
        <v>0.06</v>
      </c>
    </row>
    <row r="299" spans="17:18">
      <c r="Q299" s="239" t="s">
        <v>150</v>
      </c>
      <c r="R299" s="239" t="s">
        <v>220</v>
      </c>
    </row>
    <row r="300" spans="17:18">
      <c r="Q300" s="122" t="e">
        <f>X64</f>
        <v>#VALUE!</v>
      </c>
      <c r="R300" s="22" t="e">
        <f>Y64</f>
        <v>#VALUE!</v>
      </c>
    </row>
    <row r="301" spans="17:18">
      <c r="Q301" s="233" t="s">
        <v>150</v>
      </c>
      <c r="R301" s="239" t="s">
        <v>220</v>
      </c>
    </row>
    <row r="302" spans="17:18">
      <c r="Q302" s="233" t="e">
        <f>X71</f>
        <v>#VALUE!</v>
      </c>
      <c r="R302" s="233" t="e">
        <f>Y71</f>
        <v>#VALUE!</v>
      </c>
    </row>
  </sheetData>
  <sheetProtection selectLockedCells="1"/>
  <mergeCells count="186">
    <mergeCell ref="P87:S87"/>
    <mergeCell ref="P91:S91"/>
    <mergeCell ref="P95:S95"/>
    <mergeCell ref="X97:X98"/>
    <mergeCell ref="Z97:Z98"/>
    <mergeCell ref="AB97:AB98"/>
    <mergeCell ref="AA72:AB72"/>
    <mergeCell ref="P76:S76"/>
    <mergeCell ref="P77:S77"/>
    <mergeCell ref="AG78:AK79"/>
    <mergeCell ref="P81:S81"/>
    <mergeCell ref="P85:S85"/>
    <mergeCell ref="D61:F62"/>
    <mergeCell ref="H61:J62"/>
    <mergeCell ref="D63:F69"/>
    <mergeCell ref="H63:J69"/>
    <mergeCell ref="AA63:AE64"/>
    <mergeCell ref="AF63:AH64"/>
    <mergeCell ref="T53:U53"/>
    <mergeCell ref="AT53:AV53"/>
    <mergeCell ref="D59:J60"/>
    <mergeCell ref="M59:M60"/>
    <mergeCell ref="N59:N60"/>
    <mergeCell ref="O59:P60"/>
    <mergeCell ref="R59:S60"/>
    <mergeCell ref="AT59:AV59"/>
    <mergeCell ref="AT60:AV60"/>
    <mergeCell ref="T54:U54"/>
    <mergeCell ref="AT54:AV54"/>
    <mergeCell ref="AT55:AV55"/>
    <mergeCell ref="AT56:AV56"/>
    <mergeCell ref="K57:P58"/>
    <mergeCell ref="Q57:U58"/>
    <mergeCell ref="AT57:AV57"/>
    <mergeCell ref="AT58:AV58"/>
    <mergeCell ref="AW50:AW51"/>
    <mergeCell ref="AX50:AX51"/>
    <mergeCell ref="G51:O51"/>
    <mergeCell ref="P51:Q51"/>
    <mergeCell ref="R51:S51"/>
    <mergeCell ref="T51:U51"/>
    <mergeCell ref="AT51:AV51"/>
    <mergeCell ref="AT49:AV49"/>
    <mergeCell ref="G50:O50"/>
    <mergeCell ref="P50:Q50"/>
    <mergeCell ref="R50:S50"/>
    <mergeCell ref="T50:U50"/>
    <mergeCell ref="AT50:AV50"/>
    <mergeCell ref="AT46:AV46"/>
    <mergeCell ref="G47:O47"/>
    <mergeCell ref="P47:Q47"/>
    <mergeCell ref="R47:S47"/>
    <mergeCell ref="T47:U47"/>
    <mergeCell ref="AT47:AV47"/>
    <mergeCell ref="C48:E53"/>
    <mergeCell ref="G48:O48"/>
    <mergeCell ref="P48:Q48"/>
    <mergeCell ref="R48:S48"/>
    <mergeCell ref="T48:U48"/>
    <mergeCell ref="AT48:AV48"/>
    <mergeCell ref="G49:O49"/>
    <mergeCell ref="P49:Q49"/>
    <mergeCell ref="R49:S49"/>
    <mergeCell ref="T49:U49"/>
    <mergeCell ref="G52:O52"/>
    <mergeCell ref="P52:Q52"/>
    <mergeCell ref="R52:S52"/>
    <mergeCell ref="T52:U52"/>
    <mergeCell ref="AT52:AV52"/>
    <mergeCell ref="G53:O53"/>
    <mergeCell ref="P53:Q53"/>
    <mergeCell ref="R53:S53"/>
    <mergeCell ref="AT44:AV44"/>
    <mergeCell ref="AW44:AW45"/>
    <mergeCell ref="AX44:AX45"/>
    <mergeCell ref="G45:O45"/>
    <mergeCell ref="T45:U45"/>
    <mergeCell ref="AT45:AV45"/>
    <mergeCell ref="G43:O43"/>
    <mergeCell ref="P43:Q43"/>
    <mergeCell ref="R43:S43"/>
    <mergeCell ref="T43:U43"/>
    <mergeCell ref="AT43:AV43"/>
    <mergeCell ref="C44:E47"/>
    <mergeCell ref="G44:O44"/>
    <mergeCell ref="P44:Q45"/>
    <mergeCell ref="R44:S45"/>
    <mergeCell ref="T44:U44"/>
    <mergeCell ref="G41:O41"/>
    <mergeCell ref="P41:Q41"/>
    <mergeCell ref="R41:S41"/>
    <mergeCell ref="T41:U41"/>
    <mergeCell ref="C40:E43"/>
    <mergeCell ref="G46:O46"/>
    <mergeCell ref="P46:Q46"/>
    <mergeCell ref="R46:S46"/>
    <mergeCell ref="T46:U46"/>
    <mergeCell ref="AT41:AV41"/>
    <mergeCell ref="G42:O42"/>
    <mergeCell ref="P42:Q42"/>
    <mergeCell ref="R42:S42"/>
    <mergeCell ref="T42:U42"/>
    <mergeCell ref="AT42:AV42"/>
    <mergeCell ref="P38:Q39"/>
    <mergeCell ref="R38:S39"/>
    <mergeCell ref="T38:U38"/>
    <mergeCell ref="G39:O39"/>
    <mergeCell ref="T39:U39"/>
    <mergeCell ref="G40:O40"/>
    <mergeCell ref="P40:Q40"/>
    <mergeCell ref="R40:S40"/>
    <mergeCell ref="T40:U40"/>
    <mergeCell ref="C36:E39"/>
    <mergeCell ref="G36:O36"/>
    <mergeCell ref="P36:Q36"/>
    <mergeCell ref="R36:S36"/>
    <mergeCell ref="T36:U36"/>
    <mergeCell ref="G37:O37"/>
    <mergeCell ref="P37:Q37"/>
    <mergeCell ref="R37:S37"/>
    <mergeCell ref="T37:U37"/>
    <mergeCell ref="G38:O38"/>
    <mergeCell ref="C34:E35"/>
    <mergeCell ref="F34:F35"/>
    <mergeCell ref="G34:O35"/>
    <mergeCell ref="P34:S34"/>
    <mergeCell ref="T34:U35"/>
    <mergeCell ref="P35:Q35"/>
    <mergeCell ref="R35:S35"/>
    <mergeCell ref="BI28:BJ29"/>
    <mergeCell ref="C29:F29"/>
    <mergeCell ref="G29:S29"/>
    <mergeCell ref="C30:F30"/>
    <mergeCell ref="G30:S30"/>
    <mergeCell ref="J32:K32"/>
    <mergeCell ref="M32:S32"/>
    <mergeCell ref="T32:U32"/>
    <mergeCell ref="AW28:AX29"/>
    <mergeCell ref="AY28:AZ29"/>
    <mergeCell ref="BA28:BB29"/>
    <mergeCell ref="BC28:BD29"/>
    <mergeCell ref="BE28:BF29"/>
    <mergeCell ref="BG28:BH29"/>
    <mergeCell ref="C27:F27"/>
    <mergeCell ref="G27:S27"/>
    <mergeCell ref="C28:F28"/>
    <mergeCell ref="G28:S28"/>
    <mergeCell ref="AT28:AT29"/>
    <mergeCell ref="AU28:AV29"/>
    <mergeCell ref="C24:F24"/>
    <mergeCell ref="G24:S24"/>
    <mergeCell ref="C25:F25"/>
    <mergeCell ref="G25:S25"/>
    <mergeCell ref="C26:F26"/>
    <mergeCell ref="G26:S26"/>
    <mergeCell ref="C21:F21"/>
    <mergeCell ref="G21:S21"/>
    <mergeCell ref="C22:F22"/>
    <mergeCell ref="G22:S22"/>
    <mergeCell ref="C23:F23"/>
    <mergeCell ref="G23:S23"/>
    <mergeCell ref="E17:F17"/>
    <mergeCell ref="G17:H17"/>
    <mergeCell ref="G18:H18"/>
    <mergeCell ref="K18:N18"/>
    <mergeCell ref="O18:Q18"/>
    <mergeCell ref="G19:H19"/>
    <mergeCell ref="K19:N19"/>
    <mergeCell ref="E15:F15"/>
    <mergeCell ref="G15:J15"/>
    <mergeCell ref="M15:N15"/>
    <mergeCell ref="O15:P15"/>
    <mergeCell ref="G16:H16"/>
    <mergeCell ref="O16:P16"/>
    <mergeCell ref="G12:U12"/>
    <mergeCell ref="X12:X13"/>
    <mergeCell ref="Y12:Z13"/>
    <mergeCell ref="AA12:AB13"/>
    <mergeCell ref="G13:U13"/>
    <mergeCell ref="G14:U14"/>
    <mergeCell ref="B2:C2"/>
    <mergeCell ref="B3:C3"/>
    <mergeCell ref="B4:C4"/>
    <mergeCell ref="B5:C5"/>
    <mergeCell ref="AG7:AG8"/>
    <mergeCell ref="G11:H11"/>
  </mergeCells>
  <phoneticPr fontId="64"/>
  <conditionalFormatting sqref="R19">
    <cfRule type="expression" dxfId="5" priority="6">
      <formula>$H$17="オフィス（自社ビル）"</formula>
    </cfRule>
  </conditionalFormatting>
  <conditionalFormatting sqref="K15">
    <cfRule type="expression" dxfId="4" priority="2" stopIfTrue="1">
      <formula>$G$15=$AD$33</formula>
    </cfRule>
    <cfRule type="expression" dxfId="3" priority="3" stopIfTrue="1">
      <formula>$G$15=$AC$33</formula>
    </cfRule>
    <cfRule type="expression" dxfId="2" priority="4" stopIfTrue="1">
      <formula>$G$15=$AB$33</formula>
    </cfRule>
    <cfRule type="expression" dxfId="1" priority="5" stopIfTrue="1">
      <formula>$G$15=$AA$33</formula>
    </cfRule>
  </conditionalFormatting>
  <conditionalFormatting sqref="T30">
    <cfRule type="expression" dxfId="0" priority="1" stopIfTrue="1">
      <formula>AND($G$17&gt;0,$T$30&gt;0,OR($G$17&gt;$T$30,$G$17&lt;$T$30))</formula>
    </cfRule>
  </conditionalFormatting>
  <dataValidations count="4">
    <dataValidation type="list" allowBlank="1" showInputMessage="1" showErrorMessage="1" sqref="G18:H18">
      <formula1>$AG$9:$AM$9</formula1>
    </dataValidation>
    <dataValidation type="list" allowBlank="1" showInputMessage="1" showErrorMessage="1" sqref="O18:Q18">
      <formula1>$AD$12:$AI$12</formula1>
    </dataValidation>
    <dataValidation type="list" allowBlank="1" showInputMessage="1" showErrorMessage="1" sqref="G15">
      <formula1>$X$22:$X$29</formula1>
    </dataValidation>
    <dataValidation type="list" allowBlank="1" showInputMessage="1" showErrorMessage="1" sqref="I19">
      <formula1>$AA$16:$AB$16</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AL113"/>
  <sheetViews>
    <sheetView showGridLines="0" zoomScaleNormal="100" workbookViewId="0">
      <selection activeCell="G13" sqref="G13:H14"/>
    </sheetView>
  </sheetViews>
  <sheetFormatPr defaultRowHeight="13.5"/>
  <cols>
    <col min="1" max="2" width="9" customWidth="1"/>
    <col min="3" max="3" width="14" customWidth="1"/>
    <col min="4" max="4" width="10.25" customWidth="1"/>
    <col min="5" max="5" width="11.625" customWidth="1"/>
    <col min="6" max="6" width="12.75" customWidth="1"/>
    <col min="7" max="21" width="9" customWidth="1"/>
    <col min="22" max="22" width="9.5" customWidth="1"/>
    <col min="23" max="49" width="9" customWidth="1"/>
  </cols>
  <sheetData>
    <row r="1" spans="1:38">
      <c r="A1" s="20" t="s">
        <v>584</v>
      </c>
      <c r="B1" s="18"/>
      <c r="C1" s="18"/>
      <c r="D1" s="18"/>
      <c r="F1" s="18"/>
      <c r="G1" s="18"/>
      <c r="H1" s="18"/>
      <c r="I1" s="18"/>
      <c r="J1" s="18"/>
      <c r="K1" s="18"/>
      <c r="L1" s="18"/>
      <c r="M1" s="18"/>
      <c r="N1" s="18"/>
      <c r="O1" s="18"/>
      <c r="P1" s="20"/>
      <c r="Q1" s="18"/>
      <c r="R1" s="18"/>
      <c r="S1" s="18"/>
      <c r="T1" s="18"/>
      <c r="U1" s="18"/>
      <c r="V1" s="18"/>
      <c r="W1" s="18"/>
      <c r="X1" s="18"/>
      <c r="Y1" s="18"/>
      <c r="Z1" s="18"/>
      <c r="AA1" s="18"/>
      <c r="AB1" s="18"/>
      <c r="AC1" s="18"/>
      <c r="AD1" s="18"/>
      <c r="AE1" s="18"/>
      <c r="AF1" s="18"/>
      <c r="AG1" s="18"/>
    </row>
    <row r="2" spans="1:38" ht="15" customHeight="1">
      <c r="A2" s="34"/>
      <c r="B2" s="345"/>
      <c r="C2" s="34"/>
      <c r="D2" s="18"/>
      <c r="E2" s="18"/>
      <c r="F2" s="18"/>
      <c r="G2" s="182"/>
      <c r="H2" s="182"/>
      <c r="I2" s="182"/>
      <c r="J2" s="182"/>
      <c r="K2" s="182"/>
      <c r="L2" s="18"/>
      <c r="M2" s="18"/>
      <c r="N2" s="18"/>
      <c r="O2" s="18"/>
      <c r="P2" s="34"/>
      <c r="Q2" s="146"/>
      <c r="R2" s="350"/>
      <c r="S2" s="146"/>
      <c r="T2" s="350"/>
      <c r="U2" s="146"/>
      <c r="V2" s="350"/>
      <c r="W2" s="146"/>
      <c r="X2" s="350"/>
      <c r="Y2" s="146"/>
      <c r="Z2" s="350"/>
      <c r="AA2" s="146"/>
      <c r="AB2" s="350"/>
      <c r="AC2" s="146"/>
      <c r="AD2" s="350"/>
      <c r="AE2" s="146"/>
      <c r="AF2" s="350"/>
      <c r="AG2" s="348"/>
      <c r="AH2" s="146"/>
      <c r="AI2" s="146"/>
      <c r="AJ2" s="146"/>
      <c r="AK2" s="134"/>
      <c r="AL2" s="134"/>
    </row>
    <row r="3" spans="1:38" ht="13.5" customHeight="1">
      <c r="A3" s="720" t="s">
        <v>7</v>
      </c>
      <c r="B3" s="720"/>
      <c r="C3" s="720"/>
      <c r="D3" s="720" t="s">
        <v>8</v>
      </c>
      <c r="E3" s="833" t="s">
        <v>210</v>
      </c>
      <c r="F3" s="834"/>
      <c r="G3" s="837" t="s">
        <v>157</v>
      </c>
      <c r="H3" s="837"/>
      <c r="I3" s="837"/>
      <c r="J3" s="837"/>
      <c r="K3" s="837" t="s">
        <v>9</v>
      </c>
      <c r="L3" s="720"/>
      <c r="M3" s="837" t="s">
        <v>475</v>
      </c>
      <c r="N3" s="837"/>
      <c r="O3" s="837"/>
      <c r="P3" s="837"/>
      <c r="Q3" s="837" t="s">
        <v>479</v>
      </c>
      <c r="R3" s="720"/>
      <c r="S3" s="837" t="s">
        <v>476</v>
      </c>
      <c r="T3" s="837"/>
      <c r="U3" s="837"/>
      <c r="V3" s="837"/>
      <c r="W3" s="837" t="s">
        <v>477</v>
      </c>
      <c r="X3" s="720"/>
      <c r="Y3" s="837" t="s">
        <v>478</v>
      </c>
      <c r="Z3" s="837"/>
      <c r="AA3" s="837"/>
      <c r="AB3" s="837"/>
      <c r="AC3" s="837" t="s">
        <v>575</v>
      </c>
      <c r="AD3" s="720"/>
      <c r="AE3" s="146"/>
      <c r="AF3" s="146"/>
      <c r="AG3" s="349"/>
      <c r="AH3" s="141"/>
      <c r="AI3" s="141"/>
      <c r="AJ3" s="141"/>
      <c r="AK3" s="8"/>
      <c r="AL3" s="8"/>
    </row>
    <row r="4" spans="1:38" ht="55.5" customHeight="1">
      <c r="A4" s="720"/>
      <c r="B4" s="720"/>
      <c r="C4" s="720"/>
      <c r="D4" s="720"/>
      <c r="E4" s="835"/>
      <c r="F4" s="836"/>
      <c r="G4" s="931" t="s">
        <v>572</v>
      </c>
      <c r="H4" s="838"/>
      <c r="I4" s="837" t="s">
        <v>573</v>
      </c>
      <c r="J4" s="720"/>
      <c r="K4" s="720"/>
      <c r="L4" s="720"/>
      <c r="M4" s="931" t="s">
        <v>572</v>
      </c>
      <c r="N4" s="838"/>
      <c r="O4" s="837" t="s">
        <v>573</v>
      </c>
      <c r="P4" s="720"/>
      <c r="Q4" s="720"/>
      <c r="R4" s="720"/>
      <c r="S4" s="931" t="s">
        <v>572</v>
      </c>
      <c r="T4" s="838"/>
      <c r="U4" s="837" t="s">
        <v>573</v>
      </c>
      <c r="V4" s="720"/>
      <c r="W4" s="720"/>
      <c r="X4" s="720"/>
      <c r="Y4" s="931" t="s">
        <v>572</v>
      </c>
      <c r="Z4" s="838"/>
      <c r="AA4" s="837" t="s">
        <v>573</v>
      </c>
      <c r="AB4" s="720"/>
      <c r="AC4" s="720"/>
      <c r="AD4" s="720"/>
      <c r="AE4" s="146"/>
      <c r="AF4" s="146"/>
      <c r="AG4" s="348"/>
      <c r="AH4" s="141"/>
      <c r="AI4" s="141"/>
      <c r="AJ4" s="141"/>
      <c r="AK4" s="8"/>
      <c r="AL4" s="8"/>
    </row>
    <row r="5" spans="1:38" ht="14.25" customHeight="1">
      <c r="A5" s="843" t="s">
        <v>188</v>
      </c>
      <c r="B5" s="843"/>
      <c r="C5" s="843"/>
      <c r="D5" s="246" t="s">
        <v>192</v>
      </c>
      <c r="E5" s="844" t="s">
        <v>10</v>
      </c>
      <c r="F5" s="845"/>
      <c r="G5" s="842" t="e">
        <f>IF(#REF!="○",#REF!,IF(#REF!&gt;0,#REF!,IF(#REF!&gt;0,#REF!,"")))</f>
        <v>#REF!</v>
      </c>
      <c r="H5" s="842"/>
      <c r="I5" s="842" t="e">
        <f>IF(#REF!="○",#REF!,IF(#REF!&gt;0,#REF!,""))</f>
        <v>#REF!</v>
      </c>
      <c r="J5" s="842"/>
      <c r="K5" s="847" t="e">
        <f>IF(#REF!="○",#REF!,IF(AND(G5="",I5=""),"",G5-I5))</f>
        <v>#REF!</v>
      </c>
      <c r="L5" s="848"/>
      <c r="M5" s="925" t="e">
        <f>IF(#REF!="○",#REF!*1000/'2_メイン'!Z19*'2_メイン'!Z20,IF(#REF!&gt;0,#REF!,IF(#REF!&gt;0,#REF!,"")))</f>
        <v>#REF!</v>
      </c>
      <c r="N5" s="925"/>
      <c r="O5" s="842" t="e">
        <f>IF(#REF!="○",#REF!*1000/'2_メイン'!Z19*'2_メイン'!Z20,IF(#REF!&gt;0,#REF!,""))</f>
        <v>#REF!</v>
      </c>
      <c r="P5" s="842"/>
      <c r="Q5" s="847" t="str">
        <f>IFERROR(M5-O5,"")</f>
        <v/>
      </c>
      <c r="R5" s="848"/>
      <c r="S5" s="925" t="e">
        <f>IF(#REF!="○",#REF!*1000/'2_メイン'!Z19,IF(#REF!&gt;0,#REF!,IF(#REF!&gt;0,#REF!,"")))</f>
        <v>#REF!</v>
      </c>
      <c r="T5" s="925"/>
      <c r="U5" s="925" t="e">
        <f>IF(#REF!="○",#REF!*1000/'2_メイン'!Z19,IF(#REF!&gt;0,#REF!,""))</f>
        <v>#REF!</v>
      </c>
      <c r="V5" s="925"/>
      <c r="W5" s="911" t="str">
        <f>IFERROR(S5-U5,"")</f>
        <v/>
      </c>
      <c r="X5" s="912"/>
      <c r="Y5" s="925" t="e">
        <f>IF(#REF!="○",0,IF(#REF!&gt;0,#REF!,IF(#REF!&gt;0,#REF!,"")))</f>
        <v>#REF!</v>
      </c>
      <c r="Z5" s="925"/>
      <c r="AA5" s="925" t="e">
        <f>IF(#REF!="○",0,IF(#REF!&gt;0,#REF!,""))</f>
        <v>#REF!</v>
      </c>
      <c r="AB5" s="925"/>
      <c r="AC5" s="911" t="str">
        <f>IFERROR(Y5-AA5,"")</f>
        <v/>
      </c>
      <c r="AD5" s="912"/>
      <c r="AE5" s="466" t="str">
        <f>IFERROR(RANK(K5,$K$5:$L$17,0),"")</f>
        <v/>
      </c>
      <c r="AF5" s="844" t="s">
        <v>10</v>
      </c>
      <c r="AG5" s="845"/>
      <c r="AH5" s="141"/>
      <c r="AI5" s="141"/>
      <c r="AJ5" s="141"/>
      <c r="AK5" s="8"/>
      <c r="AL5" s="8"/>
    </row>
    <row r="6" spans="1:38" ht="14.25" customHeight="1">
      <c r="A6" s="843"/>
      <c r="B6" s="843"/>
      <c r="C6" s="843"/>
      <c r="D6" s="246" t="s">
        <v>193</v>
      </c>
      <c r="E6" s="844" t="s">
        <v>11</v>
      </c>
      <c r="F6" s="845"/>
      <c r="G6" s="878" t="e">
        <f>IF(#REF!="○",#REF!,IF(#REF!&gt;0,#REF!,IF(#REF!&gt;0,#REF!,"")))</f>
        <v>#REF!</v>
      </c>
      <c r="H6" s="878"/>
      <c r="I6" s="842" t="e">
        <f>IF(#REF!&gt;0,#REF!,"")</f>
        <v>#REF!</v>
      </c>
      <c r="J6" s="842"/>
      <c r="K6" s="847" t="e">
        <f>IF(AND(G6="",I6=""),"",IF(I6="",G6,G6-I6))</f>
        <v>#REF!</v>
      </c>
      <c r="L6" s="848"/>
      <c r="M6" s="930" t="e">
        <f>IF(#REF!="○",#REF!*1000/'2_メイン'!Z19*'2_メイン'!Z20,IF(#REF!&gt;0,#REF!,IF(#REF!&gt;0,#REF!,"")))</f>
        <v>#REF!</v>
      </c>
      <c r="N6" s="930"/>
      <c r="O6" s="925" t="e">
        <f>IF(#REF!&gt;0,#REF!,"")</f>
        <v>#REF!</v>
      </c>
      <c r="P6" s="925"/>
      <c r="Q6" s="911" t="e">
        <f>IF(AND(M6="",O6=""),"",IF(O6="",M6,M6-O6))</f>
        <v>#REF!</v>
      </c>
      <c r="R6" s="912"/>
      <c r="S6" s="930" t="str">
        <f>IFERROR(G6*1000/'2_メイン'!$Z$19,"")</f>
        <v/>
      </c>
      <c r="T6" s="930"/>
      <c r="U6" s="925" t="str">
        <f>IFERROR(I6*1000/'2_メイン'!$Z$19,"")</f>
        <v/>
      </c>
      <c r="V6" s="925"/>
      <c r="W6" s="911" t="str">
        <f>IF(AND(S6="",U6=""),"",IF(U6="",S6,S6-U6))</f>
        <v/>
      </c>
      <c r="X6" s="912"/>
      <c r="Y6" s="855"/>
      <c r="Z6" s="855"/>
      <c r="AA6" s="855"/>
      <c r="AB6" s="855"/>
      <c r="AC6" s="855"/>
      <c r="AD6" s="855"/>
      <c r="AE6" s="466" t="str">
        <f t="shared" ref="AE6:AE17" si="0">IFERROR(RANK(K6,$K$5:$L$17,0),"")</f>
        <v/>
      </c>
      <c r="AF6" s="844" t="s">
        <v>11</v>
      </c>
      <c r="AG6" s="845"/>
      <c r="AH6" s="135"/>
      <c r="AI6" s="135"/>
      <c r="AJ6" s="135"/>
      <c r="AK6" s="248"/>
      <c r="AL6" s="248"/>
    </row>
    <row r="7" spans="1:38" ht="14.25" customHeight="1">
      <c r="A7" s="843"/>
      <c r="B7" s="843"/>
      <c r="C7" s="843"/>
      <c r="D7" s="246" t="s">
        <v>194</v>
      </c>
      <c r="E7" s="849" t="s">
        <v>12</v>
      </c>
      <c r="F7" s="849"/>
      <c r="G7" s="913" t="e">
        <f>IF(#REF!="○",#REF!,IF(#REF!&gt;0,#REF!,IF(#REF!&gt;0,#REF!,"")))</f>
        <v>#REF!</v>
      </c>
      <c r="H7" s="914"/>
      <c r="I7" s="857" t="e">
        <f>IF(#REF!&gt;0,#REF!,"")</f>
        <v>#REF!</v>
      </c>
      <c r="J7" s="858"/>
      <c r="K7" s="861" t="e">
        <f>IF(AND(G7="",I7=""),"",IF(I7="",G7,IF(K8="",G7-I7,G7-I7-K8)))</f>
        <v>#REF!</v>
      </c>
      <c r="L7" s="861"/>
      <c r="M7" s="917" t="e">
        <f>IF(#REF!="○",#REF!*1000/'2_メイン'!Z19*'2_メイン'!Z20,IF(#REF!&gt;0,#REF!,IF(#REF!&gt;0,#REF!,"")))</f>
        <v>#REF!</v>
      </c>
      <c r="N7" s="918"/>
      <c r="O7" s="921" t="e">
        <f>IF(#REF!&gt;0,#REF!,"")</f>
        <v>#REF!</v>
      </c>
      <c r="P7" s="922"/>
      <c r="Q7" s="861" t="e">
        <f>IF(AND(M7="",O7=""),"",IF(O7="",M7,IF(Q8="",M7-O7,M7-O7-Q8)))</f>
        <v>#REF!</v>
      </c>
      <c r="R7" s="861"/>
      <c r="S7" s="917" t="str">
        <f>IFERROR(G7*1000/'2_メイン'!$Z$19,"")</f>
        <v/>
      </c>
      <c r="T7" s="918"/>
      <c r="U7" s="917" t="str">
        <f>IFERROR(I7*1000/'2_メイン'!$Z$19,"")</f>
        <v/>
      </c>
      <c r="V7" s="918"/>
      <c r="W7" s="861" t="str">
        <f>IF(AND(S7="",U7=""),"",IF(U7="",S7,IF(W8="",S7-U7,S7-U7-W8)))</f>
        <v/>
      </c>
      <c r="X7" s="861"/>
      <c r="Y7" s="938" t="e">
        <f>IF(#REF!="○",#REF!,IF(#REF!&gt;0,#REF!,IF(#REF!&gt;0,#REF!,"")))</f>
        <v>#REF!</v>
      </c>
      <c r="Z7" s="939"/>
      <c r="AA7" s="938" t="e">
        <f>IF(#REF!="○",#REF!,IF(#REF!&gt;0,#REF!,IF(#REF!&gt;0,#REF!,"")))</f>
        <v>#REF!</v>
      </c>
      <c r="AB7" s="939"/>
      <c r="AC7" s="855"/>
      <c r="AD7" s="855"/>
      <c r="AE7" s="466" t="str">
        <f t="shared" si="0"/>
        <v/>
      </c>
      <c r="AF7" s="849" t="s">
        <v>12</v>
      </c>
      <c r="AG7" s="849"/>
      <c r="AH7" s="141"/>
      <c r="AI7" s="141"/>
      <c r="AJ7" s="141"/>
      <c r="AK7" s="8"/>
      <c r="AL7" s="8"/>
    </row>
    <row r="8" spans="1:38" ht="14.25" customHeight="1">
      <c r="A8" s="843"/>
      <c r="B8" s="843"/>
      <c r="C8" s="843"/>
      <c r="D8" s="246" t="s">
        <v>195</v>
      </c>
      <c r="E8" s="862" t="s">
        <v>216</v>
      </c>
      <c r="F8" s="863"/>
      <c r="G8" s="915"/>
      <c r="H8" s="916"/>
      <c r="I8" s="859"/>
      <c r="J8" s="860"/>
      <c r="K8" s="861" t="e">
        <f>IF(#REF!&gt;0,#REF!,"")</f>
        <v>#REF!</v>
      </c>
      <c r="L8" s="861"/>
      <c r="M8" s="919"/>
      <c r="N8" s="920"/>
      <c r="O8" s="923"/>
      <c r="P8" s="924"/>
      <c r="Q8" s="861" t="e">
        <f>IF(#REF!&gt;0,#REF!,"")</f>
        <v>#REF!</v>
      </c>
      <c r="R8" s="861"/>
      <c r="S8" s="919"/>
      <c r="T8" s="920"/>
      <c r="U8" s="919"/>
      <c r="V8" s="920"/>
      <c r="W8" s="934" t="str">
        <f>IFERROR(K8*1000/'2_メイン'!$Z$19,"")</f>
        <v/>
      </c>
      <c r="X8" s="934"/>
      <c r="Y8" s="940"/>
      <c r="Z8" s="941"/>
      <c r="AA8" s="940"/>
      <c r="AB8" s="941"/>
      <c r="AC8" s="855"/>
      <c r="AD8" s="855"/>
      <c r="AE8" s="466" t="str">
        <f t="shared" si="0"/>
        <v/>
      </c>
      <c r="AF8" s="862" t="s">
        <v>216</v>
      </c>
      <c r="AG8" s="863"/>
      <c r="AH8" s="141"/>
      <c r="AI8" s="141"/>
      <c r="AJ8" s="141"/>
      <c r="AK8" s="8"/>
      <c r="AL8" s="8"/>
    </row>
    <row r="9" spans="1:38" ht="14.25" customHeight="1">
      <c r="A9" s="843" t="s">
        <v>189</v>
      </c>
      <c r="B9" s="843"/>
      <c r="C9" s="867"/>
      <c r="D9" s="246" t="s">
        <v>196</v>
      </c>
      <c r="E9" s="844" t="s">
        <v>153</v>
      </c>
      <c r="F9" s="845"/>
      <c r="G9" s="842" t="e">
        <f>IF(#REF!="○",#REF!,IF(#REF!&gt;0,#REF!,IF(#REF!&gt;0,#REF!,"")))</f>
        <v>#REF!</v>
      </c>
      <c r="H9" s="842"/>
      <c r="I9" s="865" t="e">
        <f>IF(#REF!&gt;0,#REF!,"")</f>
        <v>#REF!</v>
      </c>
      <c r="J9" s="866"/>
      <c r="K9" s="847" t="e">
        <f>IF(#REF!="○",#REF!,IF(AND(G9="",I9=""),"",G9-I9))</f>
        <v>#REF!</v>
      </c>
      <c r="L9" s="848"/>
      <c r="M9" s="925" t="e">
        <f>IF(#REF!="○",#REF!*1000/'2_メイン'!Z19*'2_メイン'!Z20,IF(#REF!&gt;0,#REF!,IF(#REF!&gt;0,#REF!,"")))</f>
        <v>#REF!</v>
      </c>
      <c r="N9" s="925"/>
      <c r="O9" s="932" t="e">
        <f>IF(#REF!&gt;0,#REF!,"")</f>
        <v>#REF!</v>
      </c>
      <c r="P9" s="933"/>
      <c r="Q9" s="911" t="str">
        <f>IFERROR(M9-O9,"")</f>
        <v/>
      </c>
      <c r="R9" s="912"/>
      <c r="S9" s="925" t="e">
        <f>IF(#REF!="○",#REF!*1000/'2_メイン'!Z19,IF(#REF!&gt;0,#REF!,IF(#REF!&gt;0,#REF!,"")))</f>
        <v>#REF!</v>
      </c>
      <c r="T9" s="925"/>
      <c r="U9" s="932" t="e">
        <f>IF(#REF!&gt;0,#REF!,"")</f>
        <v>#REF!</v>
      </c>
      <c r="V9" s="933"/>
      <c r="W9" s="935" t="str">
        <f>IFERROR(S9-U9,"")</f>
        <v/>
      </c>
      <c r="X9" s="936"/>
      <c r="Y9" s="925" t="e">
        <f>IF(#REF!="○",0,IF(#REF!&gt;0,#REF!,IF(#REF!&gt;0,#REF!,"")))</f>
        <v>#REF!</v>
      </c>
      <c r="Z9" s="925"/>
      <c r="AA9" s="865" t="e">
        <f>IF(#REF!&gt;0,#REF!,"")</f>
        <v>#REF!</v>
      </c>
      <c r="AB9" s="866"/>
      <c r="AC9" s="847" t="str">
        <f>IFERROR(Y9-AA9,"")</f>
        <v/>
      </c>
      <c r="AD9" s="848"/>
      <c r="AE9" s="466" t="str">
        <f t="shared" si="0"/>
        <v/>
      </c>
      <c r="AF9" s="844" t="s">
        <v>153</v>
      </c>
      <c r="AG9" s="845"/>
      <c r="AH9" s="135"/>
      <c r="AI9" s="135"/>
      <c r="AJ9" s="135"/>
      <c r="AK9" s="135"/>
      <c r="AL9" s="135"/>
    </row>
    <row r="10" spans="1:38" ht="14.25" customHeight="1">
      <c r="A10" s="867"/>
      <c r="B10" s="867"/>
      <c r="C10" s="867"/>
      <c r="D10" s="246" t="s">
        <v>197</v>
      </c>
      <c r="E10" s="844" t="s">
        <v>13</v>
      </c>
      <c r="F10" s="845"/>
      <c r="G10" s="878" t="e">
        <f>IF(#REF!="○",#REF!,IF(#REF!&gt;0,#REF!,IF(#REF!&gt;0,#REF!,"")))</f>
        <v>#REF!</v>
      </c>
      <c r="H10" s="878"/>
      <c r="I10" s="842" t="e">
        <f>IF(#REF!&gt;0,#REF!,"")</f>
        <v>#REF!</v>
      </c>
      <c r="J10" s="842"/>
      <c r="K10" s="847" t="e">
        <f>IF(AND(G10="",I10=""),"",IF(I10="",G10,G10-I10))</f>
        <v>#REF!</v>
      </c>
      <c r="L10" s="848"/>
      <c r="M10" s="930" t="e">
        <f>IF(#REF!="○",#REF!*1000/'2_メイン'!Z19*'2_メイン'!Z20,IF(#REF!&gt;0,#REF!,IF(#REF!&gt;0,#REF!,"")))</f>
        <v>#REF!</v>
      </c>
      <c r="N10" s="930"/>
      <c r="O10" s="925" t="e">
        <f>IF(#REF!&gt;0,#REF!,"")</f>
        <v>#REF!</v>
      </c>
      <c r="P10" s="925"/>
      <c r="Q10" s="911" t="e">
        <f>IF(AND(M10="",O10=""),"",IF(O10="",M10,M10-O10))</f>
        <v>#REF!</v>
      </c>
      <c r="R10" s="912"/>
      <c r="S10" s="925" t="str">
        <f>IFERROR(G10*1000/'2_メイン'!$Z$19,"")</f>
        <v/>
      </c>
      <c r="T10" s="925"/>
      <c r="U10" s="925" t="str">
        <f>IFERROR(I10*1000/'2_メイン'!$Z$19,"")</f>
        <v/>
      </c>
      <c r="V10" s="925"/>
      <c r="W10" s="911" t="str">
        <f>IF(AND(S10="",U10=""),"",IF(U10="",S10,S10-U10))</f>
        <v/>
      </c>
      <c r="X10" s="912"/>
      <c r="Y10" s="855"/>
      <c r="Z10" s="855"/>
      <c r="AA10" s="855"/>
      <c r="AB10" s="855"/>
      <c r="AC10" s="855"/>
      <c r="AD10" s="855"/>
      <c r="AE10" s="466" t="str">
        <f t="shared" si="0"/>
        <v/>
      </c>
      <c r="AF10" s="844" t="s">
        <v>13</v>
      </c>
      <c r="AG10" s="845"/>
      <c r="AH10" s="141"/>
      <c r="AI10" s="141"/>
      <c r="AJ10" s="141"/>
      <c r="AK10" s="8"/>
      <c r="AL10" s="8"/>
    </row>
    <row r="11" spans="1:38" ht="14.25" customHeight="1">
      <c r="A11" s="867"/>
      <c r="B11" s="867"/>
      <c r="C11" s="867"/>
      <c r="D11" s="246" t="s">
        <v>198</v>
      </c>
      <c r="E11" s="844" t="s">
        <v>14</v>
      </c>
      <c r="F11" s="845"/>
      <c r="G11" s="855"/>
      <c r="H11" s="855"/>
      <c r="I11" s="855"/>
      <c r="J11" s="855"/>
      <c r="K11" s="847" t="e">
        <f>IF(#REF!&gt;0,#REF!,"")</f>
        <v>#REF!</v>
      </c>
      <c r="L11" s="848"/>
      <c r="M11" s="855"/>
      <c r="N11" s="855"/>
      <c r="O11" s="855"/>
      <c r="P11" s="855"/>
      <c r="Q11" s="911" t="e">
        <f>IF(#REF!&gt;0,#REF!,"")</f>
        <v>#REF!</v>
      </c>
      <c r="R11" s="912"/>
      <c r="S11" s="855"/>
      <c r="T11" s="855"/>
      <c r="U11" s="855"/>
      <c r="V11" s="855"/>
      <c r="W11" s="911" t="e">
        <f>#REF!</f>
        <v>#REF!</v>
      </c>
      <c r="X11" s="912"/>
      <c r="Y11" s="855"/>
      <c r="Z11" s="855"/>
      <c r="AA11" s="855"/>
      <c r="AB11" s="855"/>
      <c r="AC11" s="942" t="e">
        <f>#REF!</f>
        <v>#REF!</v>
      </c>
      <c r="AD11" s="942"/>
      <c r="AE11" s="466" t="str">
        <f t="shared" si="0"/>
        <v/>
      </c>
      <c r="AF11" s="844" t="s">
        <v>14</v>
      </c>
      <c r="AG11" s="845"/>
      <c r="AH11" s="136"/>
      <c r="AI11" s="136"/>
      <c r="AJ11" s="136"/>
      <c r="AK11" s="136"/>
      <c r="AL11" s="136"/>
    </row>
    <row r="12" spans="1:38" ht="14.25" customHeight="1">
      <c r="A12" s="867"/>
      <c r="B12" s="867"/>
      <c r="C12" s="867"/>
      <c r="D12" s="246" t="s">
        <v>199</v>
      </c>
      <c r="E12" s="844" t="s">
        <v>56</v>
      </c>
      <c r="F12" s="845"/>
      <c r="G12" s="842" t="e">
        <f>IF(#REF!&gt;0,#REF!,IF(#REF!&gt;0,#REF!,""))</f>
        <v>#REF!</v>
      </c>
      <c r="H12" s="842"/>
      <c r="I12" s="842" t="e">
        <f>IF(#REF!&gt;0,#REF!,"")</f>
        <v>#REF!</v>
      </c>
      <c r="J12" s="842"/>
      <c r="K12" s="847" t="e">
        <f>IF(AND(G12="",I12=""),"",G12-I12)</f>
        <v>#REF!</v>
      </c>
      <c r="L12" s="848"/>
      <c r="M12" s="925" t="e">
        <f>IF(#REF!&gt;0,#REF!,IF(#REF!&gt;0,#REF!,""))</f>
        <v>#REF!</v>
      </c>
      <c r="N12" s="925"/>
      <c r="O12" s="842" t="e">
        <f>IF(#REF!&gt;0,#REF!,"")</f>
        <v>#REF!</v>
      </c>
      <c r="P12" s="842"/>
      <c r="Q12" s="847" t="e">
        <f>IF(AND(M12="",O12=""),"",M12-O12)</f>
        <v>#REF!</v>
      </c>
      <c r="R12" s="848"/>
      <c r="S12" s="878" t="e">
        <f>IF(#REF!&gt;0,#REF!,IF(#REF!&gt;0,#REF!,""))</f>
        <v>#REF!</v>
      </c>
      <c r="T12" s="878"/>
      <c r="U12" s="878" t="e">
        <f>IF(#REF!&gt;0,#REF!,"")</f>
        <v>#REF!</v>
      </c>
      <c r="V12" s="878"/>
      <c r="W12" s="847" t="e">
        <f>IF(AND(S12="",U12=""),"",S12-U12)</f>
        <v>#REF!</v>
      </c>
      <c r="X12" s="848"/>
      <c r="Y12" s="942" t="e">
        <f>IF(#REF!&gt;0,#REF!,IF(#REF!&gt;0,#REF!,""))</f>
        <v>#REF!</v>
      </c>
      <c r="Z12" s="942"/>
      <c r="AA12" s="942" t="e">
        <f>IF(#REF!&gt;0,#REF!,"")</f>
        <v>#REF!</v>
      </c>
      <c r="AB12" s="942"/>
      <c r="AC12" s="847" t="e">
        <f>IF(AND(Y12="",AA12=""),"",Y12-AA12)</f>
        <v>#REF!</v>
      </c>
      <c r="AD12" s="848"/>
      <c r="AE12" s="466" t="str">
        <f t="shared" si="0"/>
        <v/>
      </c>
      <c r="AF12" s="844" t="s">
        <v>56</v>
      </c>
      <c r="AG12" s="845"/>
      <c r="AH12" s="8"/>
      <c r="AI12" s="8"/>
      <c r="AJ12" s="8"/>
      <c r="AK12" s="8"/>
      <c r="AL12" s="8"/>
    </row>
    <row r="13" spans="1:38" ht="14.25" customHeight="1">
      <c r="A13" s="843" t="s">
        <v>190</v>
      </c>
      <c r="B13" s="843"/>
      <c r="C13" s="867"/>
      <c r="D13" s="246" t="s">
        <v>200</v>
      </c>
      <c r="E13" s="849" t="s">
        <v>15</v>
      </c>
      <c r="F13" s="849"/>
      <c r="G13" s="869" t="e">
        <f>IF(#REF!&gt;0,#REF!,IF(#REF!&gt;0,#REF!,""))</f>
        <v>#REF!</v>
      </c>
      <c r="H13" s="870"/>
      <c r="I13" s="869" t="e">
        <f>IF(#REF!&gt;0,#REF!,"")</f>
        <v>#REF!</v>
      </c>
      <c r="J13" s="870"/>
      <c r="K13" s="847" t="e">
        <f>IF(AND(G13="",I13=""),"",IF(K14="",G13-I13,G13-I13-K14))</f>
        <v>#REF!</v>
      </c>
      <c r="L13" s="873"/>
      <c r="M13" s="926" t="str">
        <f>IFERROR(G13*1000/'2_メイン'!$Z$19*'2_メイン'!$Z$20,"")</f>
        <v/>
      </c>
      <c r="N13" s="927"/>
      <c r="O13" s="926" t="str">
        <f>IFERROR(I13*1000/'2_メイン'!$Z$19*'2_メイン'!$Z$20,"")</f>
        <v/>
      </c>
      <c r="P13" s="927"/>
      <c r="Q13" s="911" t="str">
        <f>IF(AND(M13="",O13=""),"",IF(Q14="",M13-O13,M13-O13-Q14))</f>
        <v/>
      </c>
      <c r="R13" s="912"/>
      <c r="S13" s="926" t="str">
        <f>IFERROR(G13*1000/'2_メイン'!$Z$19,"")</f>
        <v/>
      </c>
      <c r="T13" s="927"/>
      <c r="U13" s="926" t="str">
        <f>IFERROR(I13*1000/'2_メイン'!$Z$19,"")</f>
        <v/>
      </c>
      <c r="V13" s="927"/>
      <c r="W13" s="911" t="str">
        <f>IF(AND(S13="",U13=""),"",IF(W14="",S13-U13,S13-U13-W14))</f>
        <v/>
      </c>
      <c r="X13" s="912"/>
      <c r="Y13" s="938" t="e">
        <f>IF(#REF!="○",#REF!,IF(#REF!&gt;0,#REF!,IF(#REF!&gt;0,#REF!,"")))</f>
        <v>#REF!</v>
      </c>
      <c r="Z13" s="939"/>
      <c r="AA13" s="938" t="e">
        <f>IF(#REF!="○",#REF!,IF(#REF!&gt;0,#REF!,IF(#REF!&gt;0,#REF!,"")))</f>
        <v>#REF!</v>
      </c>
      <c r="AB13" s="939"/>
      <c r="AC13" s="855"/>
      <c r="AD13" s="855"/>
      <c r="AE13" s="466" t="str">
        <f t="shared" si="0"/>
        <v/>
      </c>
      <c r="AF13" s="849" t="s">
        <v>15</v>
      </c>
      <c r="AG13" s="849"/>
      <c r="AH13" s="8"/>
      <c r="AI13" s="8"/>
      <c r="AJ13" s="8"/>
      <c r="AK13" s="8"/>
      <c r="AL13" s="8"/>
    </row>
    <row r="14" spans="1:38" ht="14.25" customHeight="1">
      <c r="A14" s="867"/>
      <c r="B14" s="867"/>
      <c r="C14" s="867"/>
      <c r="D14" s="246" t="s">
        <v>201</v>
      </c>
      <c r="E14" s="862" t="s">
        <v>16</v>
      </c>
      <c r="F14" s="863"/>
      <c r="G14" s="871"/>
      <c r="H14" s="872"/>
      <c r="I14" s="871"/>
      <c r="J14" s="872"/>
      <c r="K14" s="847" t="e">
        <f>IF(#REF!&gt;0,#REF!,"")</f>
        <v>#REF!</v>
      </c>
      <c r="L14" s="848"/>
      <c r="M14" s="928"/>
      <c r="N14" s="929"/>
      <c r="O14" s="928"/>
      <c r="P14" s="929"/>
      <c r="Q14" s="911" t="str">
        <f>IFERROR(K14*1000/'2_メイン'!$Z$19*'2_メイン'!$Z$20,"")</f>
        <v/>
      </c>
      <c r="R14" s="912"/>
      <c r="S14" s="928"/>
      <c r="T14" s="929"/>
      <c r="U14" s="928"/>
      <c r="V14" s="929"/>
      <c r="W14" s="911" t="str">
        <f>IFERROR(K14*1000/'2_メイン'!$Z$19,"")</f>
        <v/>
      </c>
      <c r="X14" s="912"/>
      <c r="Y14" s="940"/>
      <c r="Z14" s="941"/>
      <c r="AA14" s="940"/>
      <c r="AB14" s="941"/>
      <c r="AC14" s="855"/>
      <c r="AD14" s="855"/>
      <c r="AE14" s="466" t="str">
        <f t="shared" si="0"/>
        <v/>
      </c>
      <c r="AF14" s="862" t="s">
        <v>16</v>
      </c>
      <c r="AG14" s="863"/>
    </row>
    <row r="15" spans="1:38" ht="14.25" customHeight="1">
      <c r="A15" s="867"/>
      <c r="B15" s="867"/>
      <c r="C15" s="867"/>
      <c r="D15" s="246" t="s">
        <v>202</v>
      </c>
      <c r="E15" s="844" t="s">
        <v>17</v>
      </c>
      <c r="F15" s="845"/>
      <c r="G15" s="861" t="e">
        <f>IF(#REF!&gt;0,#REF!,"")</f>
        <v>#REF!</v>
      </c>
      <c r="H15" s="861"/>
      <c r="I15" s="842" t="e">
        <f>IF(#REF!&gt;0,#REF!,"")</f>
        <v>#REF!</v>
      </c>
      <c r="J15" s="842"/>
      <c r="K15" s="847" t="e">
        <f>IF(AND(G15="",I15=""),"",G15-I15)</f>
        <v>#REF!</v>
      </c>
      <c r="L15" s="848"/>
      <c r="M15" s="861" t="e">
        <f>IF(#REF!&gt;0,#REF!,"")</f>
        <v>#REF!</v>
      </c>
      <c r="N15" s="861"/>
      <c r="O15" s="925" t="e">
        <f>IF(#REF!&gt;0,#REF!,"")</f>
        <v>#REF!</v>
      </c>
      <c r="P15" s="925"/>
      <c r="Q15" s="911" t="e">
        <f>IF(AND(M15="",O15=""),"",M15-O15)</f>
        <v>#REF!</v>
      </c>
      <c r="R15" s="912"/>
      <c r="S15" s="861" t="str">
        <f>IFERROR(G15*1000/'2_メイン'!$Z$19,"")</f>
        <v/>
      </c>
      <c r="T15" s="861"/>
      <c r="U15" s="842" t="str">
        <f>IFERROR(I15*1000/'2_メイン'!$Z$19,"")</f>
        <v/>
      </c>
      <c r="V15" s="842"/>
      <c r="W15" s="847" t="str">
        <f>IF(AND(S15="",U15=""),"",S15-U15)</f>
        <v/>
      </c>
      <c r="X15" s="848"/>
      <c r="Y15" s="855"/>
      <c r="Z15" s="855"/>
      <c r="AA15" s="855"/>
      <c r="AB15" s="855"/>
      <c r="AC15" s="855"/>
      <c r="AD15" s="855"/>
      <c r="AE15" s="466" t="str">
        <f t="shared" si="0"/>
        <v/>
      </c>
      <c r="AF15" s="844" t="s">
        <v>17</v>
      </c>
      <c r="AG15" s="845"/>
    </row>
    <row r="16" spans="1:38" ht="14.25" customHeight="1">
      <c r="A16" s="867"/>
      <c r="B16" s="867"/>
      <c r="C16" s="867"/>
      <c r="D16" s="246" t="s">
        <v>203</v>
      </c>
      <c r="E16" s="844" t="s">
        <v>18</v>
      </c>
      <c r="F16" s="845"/>
      <c r="G16" s="878" t="e">
        <f>IF(#REF!&gt;0,#REF!,IF(#REF!&gt;0,#REF!,""))</f>
        <v>#REF!</v>
      </c>
      <c r="H16" s="878"/>
      <c r="I16" s="842" t="e">
        <f>IF(#REF!&gt;0,#REF!,"")</f>
        <v>#REF!</v>
      </c>
      <c r="J16" s="842"/>
      <c r="K16" s="847" t="e">
        <f>IF(AND(G16="",I16=""),"",G16-I16)</f>
        <v>#REF!</v>
      </c>
      <c r="L16" s="848"/>
      <c r="M16" s="930" t="str">
        <f>IFERROR(G16*1000/'2_メイン'!$Z$19*'2_メイン'!$Z$20,"")</f>
        <v/>
      </c>
      <c r="N16" s="930"/>
      <c r="O16" s="925" t="str">
        <f>IFERROR(I16*1000/'2_メイン'!$Z$19*'2_メイン'!$Z$20,"")</f>
        <v/>
      </c>
      <c r="P16" s="925"/>
      <c r="Q16" s="911" t="str">
        <f>IF(AND(M16="",O16=""),"",M16-O16)</f>
        <v/>
      </c>
      <c r="R16" s="912"/>
      <c r="S16" s="930" t="str">
        <f>IFERROR(G16*1000/'2_メイン'!$Z$19,"")</f>
        <v/>
      </c>
      <c r="T16" s="930"/>
      <c r="U16" s="925" t="str">
        <f>IFERROR(I16*1000/'2_メイン'!$Z$19,"")</f>
        <v/>
      </c>
      <c r="V16" s="925"/>
      <c r="W16" s="847" t="str">
        <f>IF(AND(S16="",U16=""),"",S16-U16)</f>
        <v/>
      </c>
      <c r="X16" s="848"/>
      <c r="Y16" s="855"/>
      <c r="Z16" s="855"/>
      <c r="AA16" s="855"/>
      <c r="AB16" s="855"/>
      <c r="AC16" s="855"/>
      <c r="AD16" s="855"/>
      <c r="AE16" s="466" t="str">
        <f t="shared" si="0"/>
        <v/>
      </c>
      <c r="AF16" s="844" t="s">
        <v>18</v>
      </c>
      <c r="AG16" s="845"/>
    </row>
    <row r="17" spans="1:33" ht="14.25" customHeight="1">
      <c r="A17" s="867" t="s">
        <v>191</v>
      </c>
      <c r="B17" s="867"/>
      <c r="C17" s="867"/>
      <c r="D17" s="246" t="s">
        <v>204</v>
      </c>
      <c r="E17" s="844" t="s">
        <v>19</v>
      </c>
      <c r="F17" s="845"/>
      <c r="G17" s="855"/>
      <c r="H17" s="855"/>
      <c r="I17" s="855"/>
      <c r="J17" s="855"/>
      <c r="K17" s="847" t="e">
        <f>IF(#REF!&gt;0,#REF!,"")</f>
        <v>#REF!</v>
      </c>
      <c r="L17" s="848"/>
      <c r="M17" s="855"/>
      <c r="N17" s="855"/>
      <c r="O17" s="855"/>
      <c r="P17" s="855"/>
      <c r="Q17" s="911" t="str">
        <f>IFERROR(K17*1000/'2_メイン'!$Z$19*'2_メイン'!$Z$20,"")</f>
        <v/>
      </c>
      <c r="R17" s="912"/>
      <c r="S17" s="855"/>
      <c r="T17" s="855"/>
      <c r="U17" s="855"/>
      <c r="V17" s="855"/>
      <c r="W17" s="935" t="str">
        <f>IFERROR(K17*1000/'2_メイン'!$Z$19,"")</f>
        <v/>
      </c>
      <c r="X17" s="936"/>
      <c r="Y17" s="855"/>
      <c r="Z17" s="855"/>
      <c r="AA17" s="855"/>
      <c r="AB17" s="855"/>
      <c r="AC17" s="855"/>
      <c r="AD17" s="855"/>
      <c r="AE17" s="466" t="str">
        <f t="shared" si="0"/>
        <v/>
      </c>
      <c r="AF17" s="844" t="s">
        <v>19</v>
      </c>
      <c r="AG17" s="845"/>
    </row>
    <row r="18" spans="1:33" ht="14.25" customHeight="1">
      <c r="A18" s="867"/>
      <c r="B18" s="867"/>
      <c r="C18" s="867"/>
      <c r="D18" s="246" t="s">
        <v>205</v>
      </c>
      <c r="E18" s="852" t="s">
        <v>79</v>
      </c>
      <c r="F18" s="853"/>
      <c r="G18" s="855"/>
      <c r="H18" s="855"/>
      <c r="I18" s="855"/>
      <c r="J18" s="855"/>
      <c r="K18" s="908" t="e">
        <f>IF(#REF!&gt;0,#REF!,"")</f>
        <v>#REF!</v>
      </c>
      <c r="L18" s="908"/>
      <c r="M18" s="855"/>
      <c r="N18" s="855"/>
      <c r="O18" s="855"/>
      <c r="P18" s="855"/>
      <c r="Q18" s="909" t="str">
        <f>IFERROR(K18*1000/'2_メイン'!$Z$19*'2_メイン'!$Z$20,"")</f>
        <v/>
      </c>
      <c r="R18" s="909"/>
      <c r="S18" s="855"/>
      <c r="T18" s="855"/>
      <c r="U18" s="855"/>
      <c r="V18" s="855"/>
      <c r="W18" s="909" t="e">
        <f>IF(#REF!&gt;0,#REF!,"")</f>
        <v>#REF!</v>
      </c>
      <c r="X18" s="909"/>
      <c r="Y18" s="855"/>
      <c r="Z18" s="855"/>
      <c r="AA18" s="855"/>
      <c r="AB18" s="855"/>
      <c r="AC18" s="937"/>
      <c r="AD18" s="937"/>
      <c r="AE18" s="466"/>
      <c r="AF18" s="18"/>
      <c r="AG18" s="18"/>
    </row>
    <row r="19" spans="1:33" ht="14.25" customHeight="1">
      <c r="A19" s="867"/>
      <c r="B19" s="867"/>
      <c r="C19" s="867"/>
      <c r="D19" s="246" t="s">
        <v>206</v>
      </c>
      <c r="E19" s="852" t="s">
        <v>81</v>
      </c>
      <c r="F19" s="853"/>
      <c r="G19" s="855"/>
      <c r="H19" s="855"/>
      <c r="I19" s="855"/>
      <c r="J19" s="855"/>
      <c r="K19" s="908" t="e">
        <f>IF(#REF!&gt;0,#REF!,"")</f>
        <v>#REF!</v>
      </c>
      <c r="L19" s="908"/>
      <c r="M19" s="855"/>
      <c r="N19" s="855"/>
      <c r="O19" s="855"/>
      <c r="P19" s="855"/>
      <c r="Q19" s="909" t="str">
        <f>IFERROR(K19*1000/'2_メイン'!$Z$19*'2_メイン'!$Z$20,"")</f>
        <v/>
      </c>
      <c r="R19" s="909"/>
      <c r="S19" s="855"/>
      <c r="T19" s="855"/>
      <c r="U19" s="855"/>
      <c r="V19" s="855"/>
      <c r="W19" s="909" t="e">
        <f>IF(#REF!&gt;0,#REF!,"")</f>
        <v>#REF!</v>
      </c>
      <c r="X19" s="909"/>
      <c r="Y19" s="855"/>
      <c r="Z19" s="855"/>
      <c r="AA19" s="855"/>
      <c r="AB19" s="855"/>
      <c r="AC19" s="937"/>
      <c r="AD19" s="937"/>
      <c r="AE19" s="21"/>
      <c r="AF19" s="18"/>
      <c r="AG19" s="18"/>
    </row>
    <row r="20" spans="1:33" ht="14.25" customHeight="1">
      <c r="A20" s="867"/>
      <c r="B20" s="867"/>
      <c r="C20" s="867"/>
      <c r="D20" s="246" t="s">
        <v>207</v>
      </c>
      <c r="E20" s="852" t="s">
        <v>80</v>
      </c>
      <c r="F20" s="853"/>
      <c r="G20" s="855"/>
      <c r="H20" s="855"/>
      <c r="I20" s="855"/>
      <c r="J20" s="855"/>
      <c r="K20" s="908" t="e">
        <f>IF(#REF!&gt;0,#REF!,"")</f>
        <v>#REF!</v>
      </c>
      <c r="L20" s="908"/>
      <c r="M20" s="855"/>
      <c r="N20" s="855"/>
      <c r="O20" s="855"/>
      <c r="P20" s="855"/>
      <c r="Q20" s="909" t="str">
        <f>IFERROR(K20*1000/'2_メイン'!$AH$19*'2_メイン'!$AH$20,"")</f>
        <v/>
      </c>
      <c r="R20" s="909"/>
      <c r="S20" s="855"/>
      <c r="T20" s="855"/>
      <c r="U20" s="855"/>
      <c r="V20" s="855"/>
      <c r="W20" s="908" t="e">
        <f>IF(#REF!=#REF!,#REF!,"")</f>
        <v>#REF!</v>
      </c>
      <c r="X20" s="908"/>
      <c r="Y20" s="855"/>
      <c r="Z20" s="855"/>
      <c r="AA20" s="855"/>
      <c r="AB20" s="855"/>
      <c r="AC20" s="908" t="e">
        <f>IF(#REF!&gt;0,#REF!,"")</f>
        <v>#REF!</v>
      </c>
      <c r="AD20" s="908"/>
      <c r="AE20" s="21"/>
      <c r="AF20" s="18"/>
      <c r="AG20" s="18"/>
    </row>
    <row r="21" spans="1:33" ht="14.25" customHeight="1">
      <c r="A21" s="867"/>
      <c r="B21" s="867"/>
      <c r="C21" s="867"/>
      <c r="D21" s="246" t="s">
        <v>208</v>
      </c>
      <c r="E21" s="852" t="s">
        <v>82</v>
      </c>
      <c r="F21" s="853"/>
      <c r="G21" s="855"/>
      <c r="H21" s="855"/>
      <c r="I21" s="855"/>
      <c r="J21" s="855"/>
      <c r="K21" s="908" t="e">
        <f>IF(#REF!&gt;0,#REF!,"")</f>
        <v>#REF!</v>
      </c>
      <c r="L21" s="908"/>
      <c r="M21" s="855"/>
      <c r="N21" s="855"/>
      <c r="O21" s="855"/>
      <c r="P21" s="855"/>
      <c r="Q21" s="910"/>
      <c r="R21" s="910"/>
      <c r="S21" s="855"/>
      <c r="T21" s="855"/>
      <c r="U21" s="855"/>
      <c r="V21" s="855"/>
      <c r="W21" s="937"/>
      <c r="X21" s="937"/>
      <c r="Y21" s="855"/>
      <c r="Z21" s="855"/>
      <c r="AA21" s="855"/>
      <c r="AB21" s="855"/>
      <c r="AC21" s="937"/>
      <c r="AD21" s="937"/>
      <c r="AE21" s="21"/>
      <c r="AF21" s="18"/>
      <c r="AG21" s="18"/>
    </row>
    <row r="22" spans="1:33" ht="14.25" customHeight="1">
      <c r="A22" s="867"/>
      <c r="B22" s="867"/>
      <c r="C22" s="867"/>
      <c r="D22" s="246" t="s">
        <v>209</v>
      </c>
      <c r="E22" s="852" t="s">
        <v>83</v>
      </c>
      <c r="F22" s="853"/>
      <c r="G22" s="855"/>
      <c r="H22" s="881"/>
      <c r="I22" s="855"/>
      <c r="J22" s="855"/>
      <c r="K22" s="908" t="e">
        <f>IF(#REF!&gt;0,#REF!,"")</f>
        <v>#REF!</v>
      </c>
      <c r="L22" s="908"/>
      <c r="M22" s="855"/>
      <c r="N22" s="881"/>
      <c r="O22" s="855"/>
      <c r="P22" s="855"/>
      <c r="Q22" s="910"/>
      <c r="R22" s="910"/>
      <c r="S22" s="855"/>
      <c r="T22" s="881"/>
      <c r="U22" s="855"/>
      <c r="V22" s="855"/>
      <c r="W22" s="937"/>
      <c r="X22" s="937"/>
      <c r="Y22" s="855"/>
      <c r="Z22" s="881"/>
      <c r="AA22" s="855"/>
      <c r="AB22" s="855"/>
      <c r="AC22" s="943"/>
      <c r="AD22" s="943"/>
      <c r="AE22" s="21"/>
      <c r="AF22" s="18"/>
      <c r="AG22" s="18"/>
    </row>
    <row r="23" spans="1:33" ht="14.25" customHeight="1">
      <c r="A23" s="946" t="s">
        <v>574</v>
      </c>
      <c r="B23" s="946"/>
      <c r="C23" s="946"/>
      <c r="D23" s="946"/>
      <c r="E23" s="946"/>
      <c r="F23" s="946"/>
      <c r="G23" s="944" t="str">
        <f>IFERROR(SUM(G5:H22),"")</f>
        <v/>
      </c>
      <c r="H23" s="945"/>
      <c r="I23" s="944" t="str">
        <f>IFERROR(SUM(I5:J22),"")</f>
        <v/>
      </c>
      <c r="J23" s="945"/>
      <c r="K23" s="944" t="str">
        <f>IFERROR(SUM(K5:L22),"")</f>
        <v/>
      </c>
      <c r="L23" s="945"/>
      <c r="M23" s="947" t="str">
        <f>IFERROR(SUM(M5:N22),"")</f>
        <v/>
      </c>
      <c r="N23" s="948"/>
      <c r="O23" s="947" t="str">
        <f>IFERROR(SUM(O5:P22),"")</f>
        <v/>
      </c>
      <c r="P23" s="948"/>
      <c r="Q23" s="944" t="str">
        <f>IFERROR(SUM(Q5:R22),"")</f>
        <v/>
      </c>
      <c r="R23" s="945"/>
      <c r="S23" s="947" t="str">
        <f>IFERROR(SUM(S5:T22),"")</f>
        <v/>
      </c>
      <c r="T23" s="948"/>
      <c r="U23" s="947" t="str">
        <f>IFERROR(SUM(U5:V22),"")</f>
        <v/>
      </c>
      <c r="V23" s="948"/>
      <c r="W23" s="944" t="str">
        <f>IFERROR(SUM(W5:X22),"")</f>
        <v/>
      </c>
      <c r="X23" s="945"/>
      <c r="Y23" s="944" t="str">
        <f>IFERROR(SUM(Y5:Z22),"")</f>
        <v/>
      </c>
      <c r="Z23" s="945"/>
      <c r="AA23" s="944" t="str">
        <f>IFERROR(SUM(AA5:AB22),"")</f>
        <v/>
      </c>
      <c r="AB23" s="945"/>
      <c r="AC23" s="944" t="str">
        <f>IFERROR(SUM(AC5:AD22),"")</f>
        <v/>
      </c>
      <c r="AD23" s="945"/>
      <c r="AE23" s="21"/>
      <c r="AF23" s="18"/>
      <c r="AG23" s="18"/>
    </row>
    <row r="24" spans="1:33" ht="14.25" customHeight="1">
      <c r="A24" s="34"/>
      <c r="B24" s="345"/>
      <c r="C24" s="34"/>
      <c r="D24" s="18"/>
      <c r="E24" s="18"/>
      <c r="F24" s="18"/>
      <c r="G24" s="18"/>
      <c r="H24" s="18"/>
      <c r="I24" s="18"/>
      <c r="J24" s="18"/>
      <c r="K24" s="18"/>
      <c r="L24" s="111" t="e">
        <f>IF(-K23=0,"",-K23)</f>
        <v>#VALUE!</v>
      </c>
      <c r="M24" s="18"/>
      <c r="N24" s="18"/>
      <c r="O24" s="18"/>
      <c r="P24" s="250"/>
      <c r="Q24" s="473" t="e">
        <f>IF(-Q23=0,"",-Q23)</f>
        <v>#VALUE!</v>
      </c>
      <c r="R24" s="250"/>
      <c r="S24" s="81"/>
      <c r="T24" s="81"/>
      <c r="U24" s="344"/>
      <c r="V24" s="250"/>
      <c r="W24" s="250"/>
      <c r="X24" s="473" t="e">
        <f>IF(-W23=0,"",-W23)</f>
        <v>#VALUE!</v>
      </c>
      <c r="Y24" s="18"/>
      <c r="Z24" s="18"/>
      <c r="AA24" s="18"/>
      <c r="AB24" s="18"/>
      <c r="AC24" s="18"/>
      <c r="AD24" s="111" t="e">
        <f>IF(-AC23=0,"",-AC23)</f>
        <v>#VALUE!</v>
      </c>
      <c r="AE24" s="18"/>
      <c r="AF24" s="18"/>
      <c r="AG24" s="18"/>
    </row>
    <row r="25" spans="1:33" ht="6.75" customHeight="1">
      <c r="A25" s="18"/>
      <c r="B25" s="346"/>
      <c r="C25" s="34"/>
      <c r="D25" s="18"/>
      <c r="E25" s="18"/>
      <c r="F25" s="18"/>
      <c r="G25" s="18"/>
      <c r="H25" s="18"/>
      <c r="I25" s="18"/>
      <c r="J25" s="18"/>
      <c r="K25" s="18"/>
      <c r="L25" s="18"/>
      <c r="M25" s="18"/>
      <c r="N25" s="18"/>
      <c r="O25" s="18"/>
      <c r="P25" s="250"/>
      <c r="Q25" s="250"/>
      <c r="R25" s="250"/>
      <c r="S25" s="81"/>
      <c r="T25" s="81"/>
      <c r="U25" s="344"/>
      <c r="V25" s="250"/>
      <c r="W25" s="250"/>
      <c r="X25" s="250"/>
      <c r="Y25" s="18"/>
      <c r="Z25" s="18"/>
      <c r="AA25" s="18"/>
      <c r="AB25" s="18"/>
      <c r="AC25" s="18"/>
      <c r="AD25" s="18"/>
      <c r="AE25" s="18"/>
      <c r="AF25" s="18"/>
      <c r="AG25" s="18"/>
    </row>
    <row r="26" spans="1:33" ht="14.25" customHeight="1">
      <c r="A26" s="18"/>
      <c r="B26" s="346"/>
      <c r="C26" s="34"/>
      <c r="D26" s="18"/>
      <c r="E26" s="18"/>
      <c r="F26" s="18"/>
      <c r="G26" s="18"/>
      <c r="H26" s="18"/>
      <c r="I26" s="18"/>
      <c r="J26" s="18"/>
      <c r="K26" s="18"/>
      <c r="L26" s="18"/>
      <c r="M26" s="18"/>
      <c r="N26" s="18"/>
      <c r="O26" s="18"/>
      <c r="P26" s="250"/>
      <c r="Q26" s="250"/>
      <c r="R26" s="250"/>
      <c r="S26" s="81"/>
      <c r="T26" s="81"/>
      <c r="U26" s="344"/>
      <c r="V26" s="250"/>
      <c r="W26" s="250"/>
      <c r="X26" s="250"/>
      <c r="Y26" s="18"/>
      <c r="Z26" s="18"/>
      <c r="AA26" s="18"/>
      <c r="AB26" s="18"/>
      <c r="AC26" s="18"/>
      <c r="AD26" s="18"/>
      <c r="AE26" s="18"/>
      <c r="AF26" s="18"/>
      <c r="AG26" s="18"/>
    </row>
    <row r="27" spans="1:33" ht="14.25" customHeight="1">
      <c r="A27" s="18"/>
      <c r="B27" s="346"/>
      <c r="C27" s="34"/>
      <c r="D27" s="18"/>
      <c r="E27" s="18"/>
      <c r="F27" s="18"/>
      <c r="G27" s="18"/>
      <c r="H27" s="18"/>
      <c r="I27" s="18"/>
      <c r="J27" s="18"/>
      <c r="K27" s="18"/>
      <c r="L27" s="18"/>
      <c r="M27" s="18"/>
      <c r="R27" s="250"/>
      <c r="S27" s="81"/>
      <c r="T27" s="81"/>
      <c r="U27" s="344"/>
      <c r="V27" s="250"/>
      <c r="W27" s="250"/>
      <c r="X27" s="250"/>
      <c r="Y27" s="18"/>
      <c r="Z27" s="18"/>
      <c r="AA27" s="18"/>
      <c r="AB27" s="18"/>
      <c r="AC27" s="18"/>
      <c r="AD27" s="18"/>
      <c r="AE27" s="18"/>
      <c r="AF27" s="18"/>
      <c r="AG27" s="18"/>
    </row>
    <row r="28" spans="1:33" ht="14.25" customHeight="1">
      <c r="A28" s="18"/>
      <c r="B28" s="346"/>
      <c r="C28" s="34"/>
      <c r="D28" s="18"/>
      <c r="E28" s="18" t="s">
        <v>629</v>
      </c>
      <c r="F28" s="18"/>
      <c r="G28" s="250"/>
      <c r="H28" s="250"/>
      <c r="I28" s="18"/>
      <c r="J28" s="18"/>
      <c r="K28" s="18"/>
      <c r="L28" s="18"/>
      <c r="M28" s="18"/>
      <c r="R28" s="250"/>
      <c r="S28" s="81"/>
      <c r="T28" s="81"/>
      <c r="U28" s="344"/>
      <c r="V28" s="250"/>
      <c r="W28" s="250"/>
      <c r="X28" s="250"/>
      <c r="Y28" s="18"/>
      <c r="Z28" s="18"/>
      <c r="AA28" s="18"/>
      <c r="AB28" s="18"/>
      <c r="AC28" s="18"/>
      <c r="AD28" s="18"/>
      <c r="AE28" s="18"/>
      <c r="AF28" s="18"/>
      <c r="AG28" s="18"/>
    </row>
    <row r="29" spans="1:33" ht="14.25" customHeight="1">
      <c r="A29" s="18"/>
      <c r="B29" s="346"/>
      <c r="C29" s="34"/>
      <c r="D29" s="18"/>
      <c r="E29" s="21">
        <v>1</v>
      </c>
      <c r="F29" s="18" t="str">
        <f>IFERROR(VLOOKUP(1,AE5:AG17,2,FALSE),"")</f>
        <v/>
      </c>
      <c r="G29" s="250"/>
      <c r="H29" s="250"/>
      <c r="I29" s="18"/>
      <c r="J29" s="18"/>
      <c r="K29" s="18"/>
      <c r="L29" s="18"/>
      <c r="M29" s="18"/>
      <c r="R29" s="250"/>
      <c r="S29" s="81"/>
      <c r="T29" s="81"/>
      <c r="U29" s="81"/>
      <c r="V29" s="347"/>
      <c r="W29" s="18"/>
      <c r="X29" s="18"/>
      <c r="Y29" s="18"/>
      <c r="Z29" s="18"/>
      <c r="AA29" s="18"/>
      <c r="AB29" s="18"/>
      <c r="AC29" s="18"/>
      <c r="AD29" s="18"/>
      <c r="AE29" s="18"/>
      <c r="AF29" s="18"/>
      <c r="AG29" s="18"/>
    </row>
    <row r="30" spans="1:33" ht="14.25" customHeight="1">
      <c r="A30" s="18"/>
      <c r="B30" s="346"/>
      <c r="C30" s="34"/>
      <c r="D30" s="18"/>
      <c r="E30" s="21">
        <v>2</v>
      </c>
      <c r="F30" s="18" t="str">
        <f>IFERROR(VLOOKUP(2,AE5:AG17,2,FALSE),"")</f>
        <v/>
      </c>
      <c r="G30" s="250"/>
      <c r="H30" s="250"/>
      <c r="I30" s="18"/>
      <c r="J30" s="18"/>
      <c r="K30" s="18"/>
      <c r="L30" s="18"/>
      <c r="M30" s="18"/>
      <c r="R30" s="18"/>
      <c r="S30" s="18"/>
      <c r="T30" s="18"/>
      <c r="U30" s="18"/>
      <c r="V30" s="18"/>
      <c r="W30" s="18"/>
      <c r="X30" s="18"/>
      <c r="Y30" s="18"/>
      <c r="Z30" s="18"/>
      <c r="AA30" s="18"/>
      <c r="AB30" s="18"/>
      <c r="AC30" s="18"/>
      <c r="AD30" s="18"/>
      <c r="AE30" s="18"/>
      <c r="AF30" s="18"/>
      <c r="AG30" s="18"/>
    </row>
    <row r="31" spans="1:33" ht="14.25" customHeight="1">
      <c r="A31" s="34"/>
      <c r="B31" s="345"/>
      <c r="C31" s="34"/>
      <c r="D31" s="34"/>
      <c r="E31" s="21">
        <v>3</v>
      </c>
      <c r="F31" s="18" t="str">
        <f>IFERROR(VLOOKUP(3,AE5:AG17,2,FALSE),"")</f>
        <v/>
      </c>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row>
    <row r="32" spans="1:33" ht="14.25" customHeight="1">
      <c r="A32" s="34"/>
      <c r="B32" s="345"/>
      <c r="C32" s="34"/>
      <c r="D32" s="351"/>
      <c r="E32" s="21">
        <v>4</v>
      </c>
      <c r="F32" s="448" t="str">
        <f>IFERROR(VLOOKUP(4,AE5:AG17,2,FALSE),"")</f>
        <v/>
      </c>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row>
    <row r="33" spans="1:33" ht="14.25" customHeight="1">
      <c r="A33" s="82"/>
      <c r="B33" s="345"/>
      <c r="C33" s="34"/>
      <c r="D33" s="351"/>
      <c r="E33" s="351"/>
      <c r="F33" s="351"/>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row>
    <row r="34" spans="1:33" ht="14.25" customHeight="1">
      <c r="A34" s="34"/>
      <c r="B34" s="345"/>
      <c r="C34" s="34"/>
      <c r="D34" s="34"/>
      <c r="E34" s="34"/>
      <c r="F34" s="34"/>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row>
    <row r="35" spans="1:33" ht="14.25" customHeight="1">
      <c r="A35" s="34"/>
      <c r="B35" s="345"/>
      <c r="C35" s="34"/>
      <c r="D35" s="34"/>
      <c r="E35" s="34"/>
      <c r="F35" s="34"/>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row>
    <row r="36" spans="1:33" ht="14.25" customHeight="1">
      <c r="A36" s="34"/>
      <c r="B36" s="345"/>
      <c r="C36" s="34"/>
      <c r="D36" s="34"/>
      <c r="E36" s="34"/>
      <c r="F36" s="34"/>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row>
    <row r="37" spans="1:33" ht="14.25" customHeight="1">
      <c r="A37" s="34"/>
      <c r="B37" s="345"/>
      <c r="C37" s="34"/>
      <c r="D37" s="227"/>
      <c r="E37" s="34"/>
      <c r="F37" s="34"/>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row>
    <row r="38" spans="1:33" ht="14.25" customHeight="1">
      <c r="A38" s="34"/>
      <c r="B38" s="345"/>
      <c r="C38" s="34"/>
      <c r="D38" s="227"/>
      <c r="E38" s="34"/>
      <c r="F38" s="34"/>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row>
    <row r="39" spans="1:33" ht="14.25" customHeight="1">
      <c r="A39" s="34"/>
      <c r="B39" s="345"/>
      <c r="C39" s="34"/>
      <c r="D39" s="34"/>
      <c r="E39" s="34"/>
      <c r="F39" s="34"/>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row>
    <row r="40" spans="1:33" ht="14.25" customHeight="1">
      <c r="A40" s="227"/>
      <c r="B40" s="227"/>
      <c r="C40" s="34"/>
      <c r="D40" s="34"/>
      <c r="E40" s="34"/>
      <c r="F40" s="34"/>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row>
    <row r="41" spans="1:33" ht="14.25" customHeight="1">
      <c r="A41" s="20"/>
      <c r="B41" s="345"/>
      <c r="C41" s="352"/>
      <c r="D41" s="354"/>
      <c r="E41" s="354"/>
      <c r="F41" s="34"/>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row>
    <row r="42" spans="1:33" ht="4.5" customHeight="1">
      <c r="A42" s="34"/>
      <c r="B42" s="345"/>
      <c r="C42" s="34"/>
      <c r="D42" s="34"/>
      <c r="E42" s="34"/>
      <c r="F42" s="34"/>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row>
    <row r="43" spans="1:33" ht="14.25" customHeight="1">
      <c r="A43" s="34"/>
      <c r="B43" s="345"/>
      <c r="C43" s="34"/>
      <c r="D43" s="34"/>
      <c r="E43" s="34"/>
      <c r="F43" s="34"/>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row>
    <row r="44" spans="1:33" ht="5.0999999999999996" customHeight="1">
      <c r="A44" s="34"/>
      <c r="B44" s="345"/>
      <c r="C44" s="34"/>
      <c r="D44" s="34"/>
      <c r="E44" s="34"/>
      <c r="F44" s="34"/>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row>
    <row r="45" spans="1:33" ht="14.25" customHeight="1">
      <c r="A45" s="34"/>
      <c r="B45" s="34"/>
      <c r="C45" s="34"/>
      <c r="D45" s="34"/>
      <c r="E45" s="34"/>
      <c r="F45" s="34"/>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row>
    <row r="46" spans="1:33" ht="14.25" customHeight="1">
      <c r="A46" s="34"/>
      <c r="B46" s="34"/>
      <c r="C46" s="351"/>
      <c r="D46" s="36"/>
      <c r="E46" s="36"/>
      <c r="F46" s="36"/>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row>
    <row r="47" spans="1:33" ht="5.0999999999999996" customHeight="1">
      <c r="A47" s="34"/>
      <c r="B47" s="34"/>
      <c r="C47" s="351"/>
      <c r="D47" s="351"/>
      <c r="E47" s="351"/>
      <c r="F47" s="351"/>
      <c r="G47" s="351"/>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row>
    <row r="48" spans="1:33" ht="14.25" customHeight="1">
      <c r="A48" s="34"/>
      <c r="B48" s="18"/>
      <c r="C48" s="18"/>
      <c r="D48" s="34"/>
      <c r="E48" s="34"/>
      <c r="F48" s="18"/>
      <c r="G48" s="351"/>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row>
    <row r="49" spans="1:33" ht="5.0999999999999996"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4.25" customHeight="1">
      <c r="A50" s="34"/>
      <c r="B50" s="18"/>
      <c r="C50" s="18"/>
      <c r="D50" s="18"/>
      <c r="E50" s="34"/>
      <c r="F50" s="34"/>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5.0999999999999996"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4.25" customHeight="1">
      <c r="A52" s="34"/>
      <c r="B52" s="18"/>
      <c r="C52" s="18"/>
      <c r="D52" s="34"/>
      <c r="E52" s="34"/>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5.0999999999999996"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row>
    <row r="54" spans="1:33" ht="14.25" customHeight="1">
      <c r="A54" s="34"/>
      <c r="B54" s="18"/>
      <c r="C54" s="18"/>
      <c r="D54" s="34"/>
      <c r="E54" s="34"/>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row>
    <row r="55" spans="1:33" ht="5.0999999999999996"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row>
    <row r="56" spans="1:33" ht="14.2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row>
    <row r="57" spans="1:33" ht="5.0999999999999996"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row>
    <row r="58" spans="1:33" ht="14.2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row>
    <row r="59" spans="1:33" ht="5.0999999999999996"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row>
    <row r="60" spans="1:33" ht="14.2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row>
    <row r="61" spans="1:33" ht="5.0999999999999996"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row>
    <row r="62" spans="1:33">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row>
    <row r="63" spans="1:33" ht="5.0999999999999996"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row>
    <row r="64" spans="1:33" ht="14.25" customHeight="1">
      <c r="A64" s="20"/>
      <c r="B64" s="20"/>
      <c r="C64" s="20"/>
      <c r="D64" s="20"/>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row>
    <row r="65" spans="1:33">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row>
    <row r="66" spans="1:33">
      <c r="A66" s="250"/>
      <c r="B66" s="353"/>
      <c r="C66" s="250"/>
      <c r="D66" s="353"/>
      <c r="E66" s="250"/>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row>
    <row r="67" spans="1:33">
      <c r="A67" s="250"/>
      <c r="B67" s="251"/>
      <c r="C67" s="250"/>
      <c r="D67" s="251"/>
      <c r="E67" s="250"/>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row>
    <row r="68" spans="1:33">
      <c r="A68" s="34"/>
      <c r="B68" s="34"/>
      <c r="C68" s="34"/>
      <c r="D68" s="34"/>
      <c r="E68" s="343"/>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row>
    <row r="69" spans="1:33">
      <c r="A69" s="34"/>
      <c r="B69" s="34"/>
      <c r="C69" s="34"/>
      <c r="D69" s="34"/>
      <c r="E69" s="343"/>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row>
    <row r="70" spans="1:33">
      <c r="A70" s="34"/>
      <c r="B70" s="34"/>
      <c r="C70" s="34"/>
      <c r="D70" s="34"/>
      <c r="E70" s="343"/>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row>
    <row r="71" spans="1:33">
      <c r="A71" s="34"/>
      <c r="B71" s="34"/>
      <c r="C71" s="34"/>
      <c r="D71" s="34"/>
      <c r="E71" s="343"/>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row>
    <row r="72" spans="1:33">
      <c r="A72" s="34"/>
      <c r="B72" s="34"/>
      <c r="C72" s="34"/>
      <c r="D72" s="34"/>
      <c r="E72" s="343"/>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row>
    <row r="73" spans="1:33">
      <c r="A73" s="34"/>
      <c r="B73" s="34"/>
      <c r="C73" s="34"/>
      <c r="D73" s="34"/>
      <c r="E73" s="343"/>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row>
    <row r="74" spans="1:33">
      <c r="A74" s="34"/>
      <c r="B74" s="34"/>
      <c r="C74" s="34"/>
      <c r="D74" s="34"/>
      <c r="E74" s="343"/>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row>
    <row r="75" spans="1:33">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row>
    <row r="76" spans="1:33">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row>
    <row r="77" spans="1:33">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row>
    <row r="78" spans="1:33">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row>
    <row r="79" spans="1:33">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row>
    <row r="80" spans="1:33">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row>
    <row r="81" spans="1:33">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row>
    <row r="82" spans="1:33">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row>
    <row r="83" spans="1:33">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row>
    <row r="84" spans="1:33">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row>
    <row r="85" spans="1:33">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row>
    <row r="86" spans="1:33">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row>
    <row r="87" spans="1:33">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row>
    <row r="88" spans="1:33">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row>
    <row r="89" spans="1:33">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row>
    <row r="90" spans="1:33">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row>
    <row r="91" spans="1:33">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row>
    <row r="92" spans="1:33">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row>
    <row r="93" spans="1:33">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row>
    <row r="94" spans="1:33">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row>
    <row r="95" spans="1:33">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row>
    <row r="96" spans="1:33">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row>
    <row r="97" spans="1:33">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row>
    <row r="98" spans="1:33">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row>
    <row r="99" spans="1:33">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row>
    <row r="100" spans="1:33">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row>
    <row r="101" spans="1:33">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row>
    <row r="102" spans="1:33">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row>
    <row r="103" spans="1:33">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row>
    <row r="104" spans="1:33">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row>
    <row r="105" spans="1:33">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row>
    <row r="106" spans="1:33">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row>
    <row r="107" spans="1:33">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row>
    <row r="108" spans="1:33">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row>
    <row r="109" spans="1:33">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row>
    <row r="110" spans="1:33">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row>
    <row r="111" spans="1:33">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row>
    <row r="112" spans="1:33">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row>
    <row r="113" spans="1:33">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row>
  </sheetData>
  <sheetProtection selectLockedCells="1"/>
  <mergeCells count="267">
    <mergeCell ref="AF14:AG14"/>
    <mergeCell ref="AF15:AG15"/>
    <mergeCell ref="AF16:AG16"/>
    <mergeCell ref="AF17:AG17"/>
    <mergeCell ref="AF5:AG5"/>
    <mergeCell ref="AF6:AG6"/>
    <mergeCell ref="AF7:AG7"/>
    <mergeCell ref="AF8:AG8"/>
    <mergeCell ref="AF9:AG9"/>
    <mergeCell ref="AF10:AG10"/>
    <mergeCell ref="AF11:AG11"/>
    <mergeCell ref="AF12:AG12"/>
    <mergeCell ref="AF13:AG13"/>
    <mergeCell ref="W23:X23"/>
    <mergeCell ref="Y23:Z23"/>
    <mergeCell ref="AA23:AB23"/>
    <mergeCell ref="AC23:AD23"/>
    <mergeCell ref="A23:F23"/>
    <mergeCell ref="G23:H23"/>
    <mergeCell ref="I23:J23"/>
    <mergeCell ref="K23:L23"/>
    <mergeCell ref="M23:N23"/>
    <mergeCell ref="O23:P23"/>
    <mergeCell ref="Q23:R23"/>
    <mergeCell ref="S23:T23"/>
    <mergeCell ref="U23:V23"/>
    <mergeCell ref="Y21:Z21"/>
    <mergeCell ref="AA21:AB21"/>
    <mergeCell ref="AC21:AD21"/>
    <mergeCell ref="Y22:Z22"/>
    <mergeCell ref="AA22:AB22"/>
    <mergeCell ref="AC22:AD22"/>
    <mergeCell ref="Y18:Z18"/>
    <mergeCell ref="AA18:AB18"/>
    <mergeCell ref="AC18:AD18"/>
    <mergeCell ref="Y19:Z19"/>
    <mergeCell ref="AA19:AB19"/>
    <mergeCell ref="AC19:AD19"/>
    <mergeCell ref="Y20:Z20"/>
    <mergeCell ref="AA20:AB20"/>
    <mergeCell ref="AC20:AD20"/>
    <mergeCell ref="Y15:Z15"/>
    <mergeCell ref="AA15:AB15"/>
    <mergeCell ref="AC15:AD15"/>
    <mergeCell ref="Y16:Z16"/>
    <mergeCell ref="AA16:AB16"/>
    <mergeCell ref="AC16:AD16"/>
    <mergeCell ref="Y17:Z17"/>
    <mergeCell ref="AA17:AB17"/>
    <mergeCell ref="AC17:AD17"/>
    <mergeCell ref="Y11:Z11"/>
    <mergeCell ref="AA11:AB11"/>
    <mergeCell ref="AC11:AD11"/>
    <mergeCell ref="Y12:Z12"/>
    <mergeCell ref="AA12:AB12"/>
    <mergeCell ref="AC12:AD12"/>
    <mergeCell ref="Y13:Z14"/>
    <mergeCell ref="AA13:AB14"/>
    <mergeCell ref="AC13:AD13"/>
    <mergeCell ref="AC14:AD14"/>
    <mergeCell ref="S22:T22"/>
    <mergeCell ref="U22:V22"/>
    <mergeCell ref="W22:X22"/>
    <mergeCell ref="Y4:Z4"/>
    <mergeCell ref="Y3:AB3"/>
    <mergeCell ref="AC3:AD4"/>
    <mergeCell ref="AA4:AB4"/>
    <mergeCell ref="Y5:Z5"/>
    <mergeCell ref="AA5:AB5"/>
    <mergeCell ref="AC5:AD5"/>
    <mergeCell ref="Y6:Z6"/>
    <mergeCell ref="AA6:AB6"/>
    <mergeCell ref="AC6:AD6"/>
    <mergeCell ref="Y7:Z8"/>
    <mergeCell ref="AA7:AB8"/>
    <mergeCell ref="AC7:AD7"/>
    <mergeCell ref="AC8:AD8"/>
    <mergeCell ref="Y9:Z9"/>
    <mergeCell ref="AA9:AB9"/>
    <mergeCell ref="AC9:AD9"/>
    <mergeCell ref="Y10:Z10"/>
    <mergeCell ref="AA10:AB10"/>
    <mergeCell ref="AC10:AD10"/>
    <mergeCell ref="S19:T19"/>
    <mergeCell ref="S15:T15"/>
    <mergeCell ref="U15:V15"/>
    <mergeCell ref="W15:X15"/>
    <mergeCell ref="U19:V19"/>
    <mergeCell ref="W19:X19"/>
    <mergeCell ref="S20:T20"/>
    <mergeCell ref="U20:V20"/>
    <mergeCell ref="W20:X20"/>
    <mergeCell ref="S21:T21"/>
    <mergeCell ref="U21:V21"/>
    <mergeCell ref="W21:X21"/>
    <mergeCell ref="S16:T16"/>
    <mergeCell ref="U16:V16"/>
    <mergeCell ref="W16:X16"/>
    <mergeCell ref="S17:T17"/>
    <mergeCell ref="U17:V17"/>
    <mergeCell ref="W17:X17"/>
    <mergeCell ref="S18:T18"/>
    <mergeCell ref="U18:V18"/>
    <mergeCell ref="W18:X18"/>
    <mergeCell ref="W10:X10"/>
    <mergeCell ref="S11:T11"/>
    <mergeCell ref="U11:V11"/>
    <mergeCell ref="W11:X11"/>
    <mergeCell ref="S12:T12"/>
    <mergeCell ref="U12:V12"/>
    <mergeCell ref="W12:X12"/>
    <mergeCell ref="S13:T14"/>
    <mergeCell ref="U13:V14"/>
    <mergeCell ref="W13:X13"/>
    <mergeCell ref="W14:X14"/>
    <mergeCell ref="Q11:R11"/>
    <mergeCell ref="M12:N12"/>
    <mergeCell ref="O12:P12"/>
    <mergeCell ref="Q12:R12"/>
    <mergeCell ref="Q22:R22"/>
    <mergeCell ref="S3:V3"/>
    <mergeCell ref="W3:X4"/>
    <mergeCell ref="S4:T4"/>
    <mergeCell ref="U4:V4"/>
    <mergeCell ref="S5:T5"/>
    <mergeCell ref="U5:V5"/>
    <mergeCell ref="W5:X5"/>
    <mergeCell ref="S6:T6"/>
    <mergeCell ref="U6:V6"/>
    <mergeCell ref="W6:X6"/>
    <mergeCell ref="S7:T8"/>
    <mergeCell ref="U7:V8"/>
    <mergeCell ref="W7:X7"/>
    <mergeCell ref="W8:X8"/>
    <mergeCell ref="S9:T9"/>
    <mergeCell ref="U9:V9"/>
    <mergeCell ref="W9:X9"/>
    <mergeCell ref="S10:T10"/>
    <mergeCell ref="U10:V10"/>
    <mergeCell ref="M3:P3"/>
    <mergeCell ref="Q3:R4"/>
    <mergeCell ref="M4:N4"/>
    <mergeCell ref="O4:P4"/>
    <mergeCell ref="M5:N5"/>
    <mergeCell ref="O5:P5"/>
    <mergeCell ref="Q5:R5"/>
    <mergeCell ref="M6:N6"/>
    <mergeCell ref="O6:P6"/>
    <mergeCell ref="Q6:R6"/>
    <mergeCell ref="M7:N8"/>
    <mergeCell ref="O7:P8"/>
    <mergeCell ref="Q7:R7"/>
    <mergeCell ref="Q8:R8"/>
    <mergeCell ref="M9:N9"/>
    <mergeCell ref="M13:N14"/>
    <mergeCell ref="M15:N15"/>
    <mergeCell ref="M16:N16"/>
    <mergeCell ref="G4:H4"/>
    <mergeCell ref="I4:J4"/>
    <mergeCell ref="O13:P14"/>
    <mergeCell ref="Q13:R13"/>
    <mergeCell ref="Q14:R14"/>
    <mergeCell ref="O15:P15"/>
    <mergeCell ref="Q15:R15"/>
    <mergeCell ref="O16:P16"/>
    <mergeCell ref="Q16:R16"/>
    <mergeCell ref="O9:P9"/>
    <mergeCell ref="Q9:R9"/>
    <mergeCell ref="M10:N10"/>
    <mergeCell ref="O10:P10"/>
    <mergeCell ref="Q10:R10"/>
    <mergeCell ref="M11:N11"/>
    <mergeCell ref="O11:P11"/>
    <mergeCell ref="A5:C8"/>
    <mergeCell ref="E5:F5"/>
    <mergeCell ref="G5:H5"/>
    <mergeCell ref="I5:J5"/>
    <mergeCell ref="A3:C4"/>
    <mergeCell ref="D3:D4"/>
    <mergeCell ref="E3:F4"/>
    <mergeCell ref="G3:J3"/>
    <mergeCell ref="K3:L4"/>
    <mergeCell ref="K5:L5"/>
    <mergeCell ref="E6:F6"/>
    <mergeCell ref="G6:H6"/>
    <mergeCell ref="I6:J6"/>
    <mergeCell ref="K6:L6"/>
    <mergeCell ref="E7:F7"/>
    <mergeCell ref="G7:H8"/>
    <mergeCell ref="I7:J8"/>
    <mergeCell ref="K7:L7"/>
    <mergeCell ref="E8:F8"/>
    <mergeCell ref="K8:L8"/>
    <mergeCell ref="A13:C16"/>
    <mergeCell ref="E13:F13"/>
    <mergeCell ref="G13:H14"/>
    <mergeCell ref="I13:J14"/>
    <mergeCell ref="K13:L13"/>
    <mergeCell ref="E11:F11"/>
    <mergeCell ref="G11:H11"/>
    <mergeCell ref="I11:J11"/>
    <mergeCell ref="K11:L11"/>
    <mergeCell ref="E14:F14"/>
    <mergeCell ref="K14:L14"/>
    <mergeCell ref="E12:F12"/>
    <mergeCell ref="G12:H12"/>
    <mergeCell ref="I12:J12"/>
    <mergeCell ref="K12:L12"/>
    <mergeCell ref="A9:C12"/>
    <mergeCell ref="E9:F9"/>
    <mergeCell ref="G9:H9"/>
    <mergeCell ref="I9:J9"/>
    <mergeCell ref="K9:L9"/>
    <mergeCell ref="E10:F10"/>
    <mergeCell ref="G10:H10"/>
    <mergeCell ref="I10:J10"/>
    <mergeCell ref="K10:L10"/>
    <mergeCell ref="M17:N17"/>
    <mergeCell ref="O17:P17"/>
    <mergeCell ref="Q17:R17"/>
    <mergeCell ref="M18:N18"/>
    <mergeCell ref="O18:P18"/>
    <mergeCell ref="Q18:R18"/>
    <mergeCell ref="E15:F15"/>
    <mergeCell ref="G15:H15"/>
    <mergeCell ref="I15:J15"/>
    <mergeCell ref="K15:L15"/>
    <mergeCell ref="E16:F16"/>
    <mergeCell ref="G16:H16"/>
    <mergeCell ref="I16:J16"/>
    <mergeCell ref="K16:L16"/>
    <mergeCell ref="A17:C22"/>
    <mergeCell ref="E17:F17"/>
    <mergeCell ref="G17:H17"/>
    <mergeCell ref="I17:J17"/>
    <mergeCell ref="K17:L17"/>
    <mergeCell ref="E18:F18"/>
    <mergeCell ref="G18:H18"/>
    <mergeCell ref="I18:J18"/>
    <mergeCell ref="K18:L18"/>
    <mergeCell ref="E20:F20"/>
    <mergeCell ref="G20:H20"/>
    <mergeCell ref="I20:J20"/>
    <mergeCell ref="K20:L20"/>
    <mergeCell ref="E19:F19"/>
    <mergeCell ref="G19:H19"/>
    <mergeCell ref="I19:J19"/>
    <mergeCell ref="K19:L19"/>
    <mergeCell ref="M19:N19"/>
    <mergeCell ref="O19:P19"/>
    <mergeCell ref="Q19:R19"/>
    <mergeCell ref="M20:N20"/>
    <mergeCell ref="O20:P20"/>
    <mergeCell ref="Q20:R20"/>
    <mergeCell ref="M21:N21"/>
    <mergeCell ref="O21:P21"/>
    <mergeCell ref="Q21:R21"/>
    <mergeCell ref="M22:N22"/>
    <mergeCell ref="O22:P22"/>
    <mergeCell ref="E21:F21"/>
    <mergeCell ref="G21:H21"/>
    <mergeCell ref="I21:J21"/>
    <mergeCell ref="K21:L21"/>
    <mergeCell ref="E22:F22"/>
    <mergeCell ref="G22:H22"/>
    <mergeCell ref="I22:J22"/>
    <mergeCell ref="K22:L22"/>
  </mergeCells>
  <phoneticPr fontId="64"/>
  <printOptions horizontalCentered="1" verticalCentered="1"/>
  <pageMargins left="0.70866141732283472" right="0.70866141732283472" top="0.74803149606299213" bottom="0.74803149606299213" header="0.31496062992125984" footer="0.31496062992125984"/>
  <pageSetup paperSize="8"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81</vt:i4>
      </vt:variant>
    </vt:vector>
  </HeadingPairs>
  <TitlesOfParts>
    <vt:vector size="88" baseType="lpstr">
      <vt:lpstr>1_結果 </vt:lpstr>
      <vt:lpstr>2_入力</vt:lpstr>
      <vt:lpstr>2_メイン</vt:lpstr>
      <vt:lpstr>3_床面積</vt:lpstr>
      <vt:lpstr>リンク元画像</vt:lpstr>
      <vt:lpstr>算定書</vt:lpstr>
      <vt:lpstr>削減量集計</vt:lpstr>
      <vt:lpstr>★</vt:lpstr>
      <vt:lpstr>★★</vt:lpstr>
      <vt:lpstr>★★★</vt:lpstr>
      <vt:lpstr>★その他</vt:lpstr>
      <vt:lpstr>★飲食店</vt:lpstr>
      <vt:lpstr>★非表示</vt:lpstr>
      <vt:lpstr>★物販店</vt:lpstr>
      <vt:lpstr>BELS★</vt:lpstr>
      <vt:lpstr>BELS★★</vt:lpstr>
      <vt:lpstr>BELS★★★</vt:lpstr>
      <vt:lpstr>BELS★★★★</vt:lpstr>
      <vt:lpstr>BELS★★★★★</vt:lpstr>
      <vt:lpstr>BELS認定</vt:lpstr>
      <vt:lpstr>CASBEE星非表示</vt:lpstr>
      <vt:lpstr>CASBEE非表示</vt:lpstr>
      <vt:lpstr>'1_結果 '!Print_Area</vt:lpstr>
      <vt:lpstr>'2_メイン'!Print_Area</vt:lpstr>
      <vt:lpstr>'2_入力'!Print_Area</vt:lpstr>
      <vt:lpstr>'3_床面積'!Print_Area</vt:lpstr>
      <vt:lpstr>リンク元画像!Print_Area</vt:lpstr>
      <vt:lpstr>削減量集計!Print_Area</vt:lpstr>
      <vt:lpstr>算定書!Print_Area</vt:lpstr>
      <vt:lpstr>エレベーターの省エネ制御の導入</vt:lpstr>
      <vt:lpstr>'3_床面積'!オフィス</vt:lpstr>
      <vt:lpstr>算定書!オフィス</vt:lpstr>
      <vt:lpstr>'3_床面積'!その他</vt:lpstr>
      <vt:lpstr>テナント</vt:lpstr>
      <vt:lpstr>ポンプ・ファンの節電</vt:lpstr>
      <vt:lpstr>ラベリング非表示</vt:lpstr>
      <vt:lpstr>ランクA_★★★★</vt:lpstr>
      <vt:lpstr>ランクB__★★</vt:lpstr>
      <vt:lpstr>ランクB__★★★</vt:lpstr>
      <vt:lpstr>ランクC_★</vt:lpstr>
      <vt:lpstr>ランクS_★★★★★</vt:lpstr>
      <vt:lpstr>'3_床面積'!飲食店</vt:lpstr>
      <vt:lpstr>算定書!飲食店</vt:lpstr>
      <vt:lpstr>改修</vt:lpstr>
      <vt:lpstr>改修項目非表示</vt:lpstr>
      <vt:lpstr>該当なし</vt:lpstr>
      <vt:lpstr>割合0</vt:lpstr>
      <vt:lpstr>割合10</vt:lpstr>
      <vt:lpstr>割合100</vt:lpstr>
      <vt:lpstr>割合20</vt:lpstr>
      <vt:lpstr>割合30</vt:lpstr>
      <vt:lpstr>割合40</vt:lpstr>
      <vt:lpstr>割合50</vt:lpstr>
      <vt:lpstr>割合60</vt:lpstr>
      <vt:lpstr>割合70</vt:lpstr>
      <vt:lpstr>割合80</vt:lpstr>
      <vt:lpstr>割合90</vt:lpstr>
      <vt:lpstr>既存</vt:lpstr>
      <vt:lpstr>給湯設備の節電</vt:lpstr>
      <vt:lpstr>共用部の節電</vt:lpstr>
      <vt:lpstr>空調の省エネ制御の導入</vt:lpstr>
      <vt:lpstr>空調の適正温度管理</vt:lpstr>
      <vt:lpstr>空調用ポンプの省エネ制御の導入</vt:lpstr>
      <vt:lpstr>建物全体</vt:lpstr>
      <vt:lpstr>高輝度型誘導灯の導入</vt:lpstr>
      <vt:lpstr>高効率パッケージ形空調機の導入</vt:lpstr>
      <vt:lpstr>高効率空調機の導入</vt:lpstr>
      <vt:lpstr>高効率空調用ポンプの導入</vt:lpstr>
      <vt:lpstr>高効率照明器具の導入</vt:lpstr>
      <vt:lpstr>高効率熱源機器の導入</vt:lpstr>
      <vt:lpstr>高効率変圧器の導入</vt:lpstr>
      <vt:lpstr>高効率冷却塔の導入</vt:lpstr>
      <vt:lpstr>削減効果非表示</vt:lpstr>
      <vt:lpstr>事務機器の節電</vt:lpstr>
      <vt:lpstr>照度の管理</vt:lpstr>
      <vt:lpstr>照明のこまめな消灯</vt:lpstr>
      <vt:lpstr>照明の省エネ制御の導入</vt:lpstr>
      <vt:lpstr>新築</vt:lpstr>
      <vt:lpstr>制御あり</vt:lpstr>
      <vt:lpstr>制御なし</vt:lpstr>
      <vt:lpstr>全熱交換器の導入</vt:lpstr>
      <vt:lpstr>'3_床面積'!大分類</vt:lpstr>
      <vt:lpstr>電力</vt:lpstr>
      <vt:lpstr>都市ガス</vt:lpstr>
      <vt:lpstr>認定</vt:lpstr>
      <vt:lpstr>不動産</vt:lpstr>
      <vt:lpstr>'3_床面積'!物販店</vt:lpstr>
      <vt:lpstr>算定書!物販店</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2016-10-11T02:47:33Z</cp:lastPrinted>
  <dcterms:created xsi:type="dcterms:W3CDTF">2014-08-01T01:01:56Z</dcterms:created>
  <dcterms:modified xsi:type="dcterms:W3CDTF">2016-10-17T09:20:17Z</dcterms:modified>
</cp:coreProperties>
</file>